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tabRatio="641" activeTab="0"/>
  </bookViews>
  <sheets>
    <sheet name="財務摘要" sheetId="1" r:id="rId1"/>
    <sheet name="Sheet1" sheetId="2" r:id="rId2"/>
    <sheet name="損益-科目 " sheetId="3" r:id="rId3"/>
    <sheet name="損益機關" sheetId="4" r:id="rId4"/>
    <sheet name="工作表1" sheetId="5" r:id="rId5"/>
    <sheet name="營業費用參考" sheetId="6" r:id="rId6"/>
    <sheet name="105-106年資產預算數參考" sheetId="7" r:id="rId7"/>
    <sheet name="工作表4" sheetId="8" r:id="rId8"/>
    <sheet name="Sheet2" sheetId="9" r:id="rId9"/>
    <sheet name="盈虧撥補科目" sheetId="10" r:id="rId10"/>
    <sheet name="盈虧撥補" sheetId="11" r:id="rId11"/>
    <sheet name="Sheet3" sheetId="12" r:id="rId12"/>
    <sheet name="現流科目" sheetId="13" r:id="rId13"/>
    <sheet name="現金機關" sheetId="14" r:id="rId14"/>
    <sheet name="工作表2" sheetId="15" r:id="rId15"/>
    <sheet name="Sheet6" sheetId="16" r:id="rId16"/>
    <sheet name="資產負債科目" sheetId="17" r:id="rId17"/>
    <sheet name="資產機關" sheetId="18" r:id="rId18"/>
    <sheet name="工作表3" sheetId="19" r:id="rId19"/>
    <sheet name="Sheet8" sheetId="20" r:id="rId20"/>
    <sheet name="查核金酒 " sheetId="21" r:id="rId21"/>
    <sheet name="查核陶瓷" sheetId="22" r:id="rId22"/>
    <sheet name="查核報社" sheetId="23" r:id="rId23"/>
    <sheet name="查核公車" sheetId="24" r:id="rId24"/>
    <sheet name="查核浯江" sheetId="25" r:id="rId25"/>
    <sheet name="查核水廠" sheetId="26" r:id="rId26"/>
    <sheet name="Sheet9" sheetId="27" r:id="rId27"/>
    <sheet name="主要產品產銷" sheetId="28" r:id="rId28"/>
    <sheet name="營業利益" sheetId="29" r:id="rId29"/>
    <sheet name="純益" sheetId="30" r:id="rId30"/>
    <sheet name="員工人數" sheetId="31" r:id="rId31"/>
    <sheet name="用人費用" sheetId="32" r:id="rId32"/>
    <sheet name="固定資產" sheetId="33" r:id="rId33"/>
    <sheet name="Sheet10" sheetId="34" r:id="rId34"/>
    <sheet name="長期債務" sheetId="35" r:id="rId35"/>
    <sheet name="經營財" sheetId="36" r:id="rId36"/>
    <sheet name="經營績" sheetId="37" r:id="rId37"/>
    <sheet name="經營成長" sheetId="38" r:id="rId38"/>
    <sheet name="Sheet5" sheetId="39" r:id="rId39"/>
    <sheet name="Sheet7" sheetId="40" r:id="rId40"/>
    <sheet name="Sheet7 (2)" sheetId="41" r:id="rId41"/>
    <sheet name="Sheet4" sheetId="42" r:id="rId42"/>
    <sheet name="目錄" sheetId="43" r:id="rId43"/>
  </sheets>
  <externalReferences>
    <externalReference r:id="rId46"/>
    <externalReference r:id="rId47"/>
  </externalReferences>
  <definedNames>
    <definedName name="_Regression_Int" hidden="1">1</definedName>
    <definedName name="_xlnm.Print_Area" localSheetId="1">'Sheet1'!$A$1:$I$19</definedName>
    <definedName name="_xlnm.Print_Area" localSheetId="33">'Sheet10'!$A$1:$G$22</definedName>
    <definedName name="_xlnm.Print_Area" localSheetId="8">'Sheet2'!$A$1:$I$19</definedName>
    <definedName name="_xlnm.Print_Area" localSheetId="11">'Sheet3'!$A$1:$G$18</definedName>
    <definedName name="_xlnm.Print_Area" localSheetId="15">'Sheet6'!$A$1:$D$15</definedName>
    <definedName name="_xlnm.Print_Area" localSheetId="19">'Sheet8'!$A$1:$G$18</definedName>
    <definedName name="_xlnm.Print_Area" localSheetId="26">'Sheet9'!$A$1:$G$16</definedName>
    <definedName name="_xlnm.Print_Area" localSheetId="27">'主要產品產銷'!$A$1:$R$27</definedName>
    <definedName name="_xlnm.Print_Area" localSheetId="31">'用人費用'!$A$1:$L$44</definedName>
    <definedName name="_xlnm.Print_Area" localSheetId="32">'固定資產'!$A$1:$H$20</definedName>
    <definedName name="_xlnm.Print_Area" localSheetId="34">'長期債務'!$A$1:$S$24</definedName>
    <definedName name="_xlnm.Print_Area" localSheetId="23">'查核公車'!$A$1:$H$106</definedName>
    <definedName name="_xlnm.Print_Area" localSheetId="25">'查核水廠'!$A$1:$H$109</definedName>
    <definedName name="_xlnm.Print_Area" localSheetId="20">'查核金酒 '!$A$1:$H$105</definedName>
    <definedName name="_xlnm.Print_Area" localSheetId="24">'查核浯江'!$A$1:$H$108</definedName>
    <definedName name="_xlnm.Print_Area" localSheetId="21">'查核陶瓷'!$A$1:$H$107</definedName>
    <definedName name="_xlnm.Print_Area" localSheetId="22">'查核報社'!$A$1:$H$106</definedName>
    <definedName name="_xlnm.Print_Area" localSheetId="10">'盈虧撥補'!$A$1:$O$37</definedName>
    <definedName name="_xlnm.Print_Area" localSheetId="9">'盈虧撥補科目'!$A$1:$I$36</definedName>
    <definedName name="_xlnm.Print_Area" localSheetId="30">'員工人數'!$A$1:$BF$27</definedName>
    <definedName name="_xlnm.Print_Area" localSheetId="29">'純益'!$A$1:$I$30</definedName>
    <definedName name="_xlnm.Print_Area" localSheetId="0">'財務摘要'!$A$1:$E$27</definedName>
    <definedName name="_xlnm.Print_Area" localSheetId="13">'現金機關'!$A$1:$H$38</definedName>
    <definedName name="_xlnm.Print_Area" localSheetId="12">'現流科目'!$A$1:$E$38</definedName>
    <definedName name="_xlnm.Print_Area" localSheetId="2">'損益-科目 '!$A$1:$I$36</definedName>
    <definedName name="_xlnm.Print_Area" localSheetId="3">'損益機關'!$A$1:$O$36</definedName>
    <definedName name="_xlnm.Print_Area" localSheetId="37">'經營成長'!$A$1:$G$25</definedName>
    <definedName name="_xlnm.Print_Area" localSheetId="35">'經營財'!$A$1:$G$25</definedName>
    <definedName name="_xlnm.Print_Area" localSheetId="36">'經營績'!$A$1:$K$23</definedName>
    <definedName name="_xlnm.Print_Area" localSheetId="16">'資產負債科目'!$A$1:$J$33</definedName>
    <definedName name="_xlnm.Print_Area" localSheetId="17">'資產機關'!$A$1:$O$56</definedName>
    <definedName name="_xlnm.Print_Area" localSheetId="28">'營業利益'!$A$1:$I$29</definedName>
    <definedName name="Print_Area_MI" localSheetId="23">#REF!</definedName>
    <definedName name="Print_Area_MI" localSheetId="25">#REF!</definedName>
    <definedName name="Print_Area_MI" localSheetId="20">#REF!</definedName>
    <definedName name="Print_Area_MI" localSheetId="24">#REF!</definedName>
    <definedName name="Print_Area_MI" localSheetId="21">#REF!</definedName>
    <definedName name="Print_Area_MI" localSheetId="22">#REF!</definedName>
    <definedName name="Print_Area_MI">'財務摘要'!$A$2:$E$27</definedName>
    <definedName name="_xlnm.Print_Titles" localSheetId="23">'查核公車'!$1:$4</definedName>
    <definedName name="_xlnm.Print_Titles" localSheetId="25">'查核水廠'!$1:$4</definedName>
    <definedName name="_xlnm.Print_Titles" localSheetId="20">'查核金酒 '!$1:$4</definedName>
    <definedName name="_xlnm.Print_Titles" localSheetId="24">'查核浯江'!$1:$4</definedName>
    <definedName name="_xlnm.Print_Titles" localSheetId="21">'查核陶瓷'!$1:$4</definedName>
    <definedName name="_xlnm.Print_Titles" localSheetId="22">'查核報社'!$1:$4</definedName>
    <definedName name="_xlnm.Print_Titles" localSheetId="9">'盈虧撥補科目'!$1:$6</definedName>
    <definedName name="_xlnm.Print_Titles" localSheetId="12">'現流科目'!$1:$5</definedName>
    <definedName name="_xlnm.Print_Titles" localSheetId="2">'損益-科目 '!$1:$6</definedName>
    <definedName name="_xlnm.Print_Titles" localSheetId="16">'資產負債科目'!$1:$6</definedName>
    <definedName name="_xlnm.Print_Titles" localSheetId="17">'資產機關'!$1:$6</definedName>
  </definedNames>
  <calcPr fullCalcOnLoad="1"/>
</workbook>
</file>

<file path=xl/comments18.xml><?xml version="1.0" encoding="utf-8"?>
<comments xmlns="http://schemas.openxmlformats.org/spreadsheetml/2006/main">
  <authors>
    <author>陳瓊端</author>
  </authors>
  <commentList>
    <comment ref="O4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<sst xmlns="http://schemas.openxmlformats.org/spreadsheetml/2006/main" count="1854" uniqueCount="905">
  <si>
    <t xml:space="preserve"> </t>
  </si>
  <si>
    <t>投資活動之現金流量</t>
  </si>
  <si>
    <t xml:space="preserve"> 增加資本公積及填補虧損</t>
  </si>
  <si>
    <t>期初現金及約當現金</t>
  </si>
  <si>
    <t>期末現金及約當現金</t>
  </si>
  <si>
    <t xml:space="preserve">  其他負債淨增(淨減-)</t>
  </si>
  <si>
    <t>營業外利益(損失-)</t>
  </si>
  <si>
    <t>上年度決算數</t>
  </si>
  <si>
    <t>%</t>
  </si>
  <si>
    <t>比較增減(-)數</t>
  </si>
  <si>
    <t>上年度</t>
  </si>
  <si>
    <t>本年度</t>
  </si>
  <si>
    <t>項         目</t>
  </si>
  <si>
    <t>經營成績:</t>
  </si>
  <si>
    <t xml:space="preserve">  給水成本</t>
  </si>
  <si>
    <t xml:space="preserve">    累積盈餘</t>
  </si>
  <si>
    <t>分配之部</t>
  </si>
  <si>
    <t xml:space="preserve">    其他政府機關所得者</t>
  </si>
  <si>
    <t xml:space="preserve">    留存事業機關者</t>
  </si>
  <si>
    <t xml:space="preserve">      資本公積</t>
  </si>
  <si>
    <t xml:space="preserve">      法定公積</t>
  </si>
  <si>
    <t xml:space="preserve">      特別公積</t>
  </si>
  <si>
    <t xml:space="preserve">      未分配盈餘</t>
  </si>
  <si>
    <t>虧損之部</t>
  </si>
  <si>
    <t xml:space="preserve">    本期純損</t>
  </si>
  <si>
    <t xml:space="preserve">    累積虧損</t>
  </si>
  <si>
    <t xml:space="preserve">    本期純益</t>
  </si>
  <si>
    <t xml:space="preserve">    中央政府負擔者</t>
  </si>
  <si>
    <t xml:space="preserve">    地方政府負擔者</t>
  </si>
  <si>
    <t xml:space="preserve">      撥用盈餘</t>
  </si>
  <si>
    <t xml:space="preserve">      撥用法定公積</t>
  </si>
  <si>
    <t xml:space="preserve">      撥用特別公積</t>
  </si>
  <si>
    <t xml:space="preserve">      撥用資本公積</t>
  </si>
  <si>
    <t xml:space="preserve">      待填補之虧損</t>
  </si>
  <si>
    <t xml:space="preserve">  調整非現金項目</t>
  </si>
  <si>
    <t xml:space="preserve">    提存各項準備</t>
  </si>
  <si>
    <t xml:space="preserve">    折舊及折耗</t>
  </si>
  <si>
    <t xml:space="preserve">    處理資產損失(利益-)</t>
  </si>
  <si>
    <t xml:space="preserve">    流動資產淨減(淨增-)</t>
  </si>
  <si>
    <t xml:space="preserve">    流動負債淨增(淨減-)</t>
  </si>
  <si>
    <t>營業活動之現金流量</t>
  </si>
  <si>
    <t xml:space="preserve"> 營業活動之淨現金流入(流出-)</t>
  </si>
  <si>
    <t xml:space="preserve">   無形資產及其他資產淨減(淨增-)</t>
  </si>
  <si>
    <t xml:space="preserve">   增加固定資產及遞耗資產</t>
  </si>
  <si>
    <t>投資活動之淨現金流入(出-)</t>
  </si>
  <si>
    <t xml:space="preserve">   減少固定資產及遞耗資產</t>
  </si>
  <si>
    <t>現金及約當現金之淨增(減-)</t>
  </si>
  <si>
    <t>營業收入</t>
  </si>
  <si>
    <t xml:space="preserve">  銷貨收入 </t>
  </si>
  <si>
    <t xml:space="preserve">  給水收入 </t>
  </si>
  <si>
    <t xml:space="preserve">  運輸收入 </t>
  </si>
  <si>
    <t xml:space="preserve">  印刷出版廣告收入 </t>
  </si>
  <si>
    <t>營業成本</t>
  </si>
  <si>
    <t xml:space="preserve">  銷貨成本</t>
  </si>
  <si>
    <t xml:space="preserve">  輸儲成本</t>
  </si>
  <si>
    <t xml:space="preserve">  印刷出版廣告成本</t>
  </si>
  <si>
    <t xml:space="preserve">  其他營業成本</t>
  </si>
  <si>
    <t xml:space="preserve">  行銷費用</t>
  </si>
  <si>
    <t xml:space="preserve">  業務費用</t>
  </si>
  <si>
    <t xml:space="preserve">  管理費用</t>
  </si>
  <si>
    <t xml:space="preserve">  其他營業費用</t>
  </si>
  <si>
    <t xml:space="preserve">  財務收入</t>
  </si>
  <si>
    <t xml:space="preserve">  其他營業外收入</t>
  </si>
  <si>
    <t>營業外費用</t>
  </si>
  <si>
    <t xml:space="preserve">  其他營業外費用</t>
  </si>
  <si>
    <t>稅前純益(純損-)</t>
  </si>
  <si>
    <t>本期純益(純損-)</t>
  </si>
  <si>
    <t>填補之部</t>
  </si>
  <si>
    <t>融資活動之現金流量</t>
  </si>
  <si>
    <t>融資活動之淨現金流入(出-)</t>
  </si>
  <si>
    <t>單位：新台幣元</t>
  </si>
  <si>
    <t>損益</t>
  </si>
  <si>
    <t>綜計表</t>
  </si>
  <si>
    <t>決算數</t>
  </si>
  <si>
    <t>預算數</t>
  </si>
  <si>
    <t>合計</t>
  </si>
  <si>
    <t>中華民國   年度</t>
  </si>
  <si>
    <t>上年度決算</t>
  </si>
  <si>
    <t>產銷（營運）量值</t>
  </si>
  <si>
    <t>單位</t>
  </si>
  <si>
    <t>數量</t>
  </si>
  <si>
    <t>總值</t>
  </si>
  <si>
    <t>生產量</t>
  </si>
  <si>
    <t>銷售量</t>
  </si>
  <si>
    <t>生產總值</t>
  </si>
  <si>
    <t>銷售總值</t>
  </si>
  <si>
    <t>金門縣附屬單位決算</t>
  </si>
  <si>
    <t>中華民國</t>
  </si>
  <si>
    <t>主要產品產銷</t>
  </si>
  <si>
    <t xml:space="preserve">   年度</t>
  </si>
  <si>
    <t>本年度預算產銷（營運）量值</t>
  </si>
  <si>
    <t>本年度決算產銷（營運）量值占預算產銷（營運）量值%</t>
  </si>
  <si>
    <t>（營運）量值綜計表</t>
  </si>
  <si>
    <t>上年度決算數</t>
  </si>
  <si>
    <t>本年度</t>
  </si>
  <si>
    <t>經營效能比率%</t>
  </si>
  <si>
    <t>決算數</t>
  </si>
  <si>
    <t>比較增減（-）</t>
  </si>
  <si>
    <t>%</t>
  </si>
  <si>
    <t>單位：新臺幣元</t>
  </si>
  <si>
    <t>資本支出部分</t>
  </si>
  <si>
    <t>營業支出決算部分（不包括資本支出部分）</t>
  </si>
  <si>
    <t>決算數與預算數比較</t>
  </si>
  <si>
    <t>生產部分</t>
  </si>
  <si>
    <t>行銷或業務部分</t>
  </si>
  <si>
    <t>管理部分</t>
  </si>
  <si>
    <t>其他部分</t>
  </si>
  <si>
    <t>員</t>
  </si>
  <si>
    <t>工</t>
  </si>
  <si>
    <t>正式</t>
  </si>
  <si>
    <t>臨時</t>
  </si>
  <si>
    <t>營業支出預算部分（不包括資本支出部分）</t>
  </si>
  <si>
    <t>營業支出決算數與預算數比較</t>
  </si>
  <si>
    <t>單位：人</t>
  </si>
  <si>
    <t>正式員額薪資</t>
  </si>
  <si>
    <t>臨時人員薪資</t>
  </si>
  <si>
    <t>超時工作報酬</t>
  </si>
  <si>
    <t>津貼</t>
  </si>
  <si>
    <t>獎金</t>
  </si>
  <si>
    <t>退休及卹償金</t>
  </si>
  <si>
    <t>資遣費</t>
  </si>
  <si>
    <t>福利費</t>
  </si>
  <si>
    <t>提繳費</t>
  </si>
  <si>
    <t>資本支出用人費用</t>
  </si>
  <si>
    <t>固定資產建設改良擴充綜計表</t>
  </si>
  <si>
    <t>可用預算數</t>
  </si>
  <si>
    <t>保留數</t>
  </si>
  <si>
    <t xml:space="preserve"> 單位：新臺幣元</t>
  </si>
  <si>
    <t>比較增減</t>
  </si>
  <si>
    <t>國內借款</t>
  </si>
  <si>
    <t>國外借款</t>
  </si>
  <si>
    <t>金融機構</t>
  </si>
  <si>
    <t>各種債券</t>
  </si>
  <si>
    <t>※各種基金</t>
  </si>
  <si>
    <t>應付記帳關稅</t>
  </si>
  <si>
    <t>※其他借款</t>
  </si>
  <si>
    <t>小計</t>
  </si>
  <si>
    <t>其他借款</t>
  </si>
  <si>
    <t>與償還綜計表</t>
  </si>
  <si>
    <t xml:space="preserve"> </t>
  </si>
  <si>
    <t>經營指標（財務地位）綜計表</t>
  </si>
  <si>
    <t>業主權益對資產總額之比率（％）</t>
  </si>
  <si>
    <t>業主權益</t>
  </si>
  <si>
    <t>資產總額</t>
  </si>
  <si>
    <t>業 主 權 益</t>
  </si>
  <si>
    <t>長期負債+業主權益</t>
  </si>
  <si>
    <t>負債總額</t>
  </si>
  <si>
    <t>本年度決算</t>
  </si>
  <si>
    <t>營業利益率（％）</t>
  </si>
  <si>
    <t>純益率（％）</t>
  </si>
  <si>
    <t>業主權益報酬率（％）</t>
  </si>
  <si>
    <t>營業利益</t>
  </si>
  <si>
    <t>營業收入</t>
  </si>
  <si>
    <t>純益</t>
  </si>
  <si>
    <t>平均業主權益</t>
  </si>
  <si>
    <t>普通股流通在外股數</t>
  </si>
  <si>
    <t>本年度預算</t>
  </si>
  <si>
    <t>營業成長率（％）</t>
  </si>
  <si>
    <t>業主權益成長率（％）</t>
  </si>
  <si>
    <r>
      <t>本年度</t>
    </r>
    <r>
      <rPr>
        <u val="single"/>
        <sz val="12"/>
        <rFont val="標楷體"/>
        <family val="4"/>
      </rPr>
      <t>營業收入</t>
    </r>
  </si>
  <si>
    <r>
      <t>上年度</t>
    </r>
    <r>
      <rPr>
        <sz val="12"/>
        <rFont val="標楷體"/>
        <family val="4"/>
      </rPr>
      <t>營業收入</t>
    </r>
  </si>
  <si>
    <t>部分</t>
  </si>
  <si>
    <t>上年度</t>
  </si>
  <si>
    <t>科目</t>
  </si>
  <si>
    <t>原列決算數</t>
  </si>
  <si>
    <t>修正數</t>
  </si>
  <si>
    <t>決算核定數</t>
  </si>
  <si>
    <t>增加</t>
  </si>
  <si>
    <t>減少</t>
  </si>
  <si>
    <t>營業收支之部</t>
  </si>
  <si>
    <t>營業毛利(毛損-)</t>
  </si>
  <si>
    <t xml:space="preserve">  行銷費用 </t>
  </si>
  <si>
    <t xml:space="preserve">  管理費用 </t>
  </si>
  <si>
    <t>業務外利益(損失-)</t>
  </si>
  <si>
    <t>營業外收入</t>
  </si>
  <si>
    <t>所得稅費用</t>
  </si>
  <si>
    <t xml:space="preserve">  本期純益</t>
  </si>
  <si>
    <t xml:space="preserve">  累積盈餘</t>
  </si>
  <si>
    <t>合計</t>
  </si>
  <si>
    <t>分配之部</t>
  </si>
  <si>
    <t>營業活動之現金流量</t>
  </si>
  <si>
    <t>融資活動之現金流量</t>
  </si>
  <si>
    <t xml:space="preserve"> 金門縣附屬單位決算</t>
  </si>
  <si>
    <t>科目</t>
  </si>
  <si>
    <t>金額</t>
  </si>
  <si>
    <t>資產</t>
  </si>
  <si>
    <t>金門酒廠實業股份有限公司</t>
  </si>
  <si>
    <t>金門縣陶瓷廠</t>
  </si>
  <si>
    <t>金門縣陶瓷廠</t>
  </si>
  <si>
    <t>金門縣金門日報社</t>
  </si>
  <si>
    <t>金門縣金門日報社</t>
  </si>
  <si>
    <t>金門縣公共車船處</t>
  </si>
  <si>
    <t>金門縣浯江渡輪有限公司</t>
  </si>
  <si>
    <t>金門縣自來水廠</t>
  </si>
  <si>
    <t>金門縣自來水廠</t>
  </si>
  <si>
    <t>純益-特別股股利</t>
  </si>
  <si>
    <t xml:space="preserve">  增加長期負債</t>
  </si>
  <si>
    <t xml:space="preserve">  其他營業收入 </t>
  </si>
  <si>
    <t>金門縣浯江輪渡有限公司</t>
  </si>
  <si>
    <t>金門縣浯江輪渡有限公司</t>
  </si>
  <si>
    <t>金門縣公共車船管理處</t>
  </si>
  <si>
    <t>財務摘要綜計表</t>
  </si>
  <si>
    <t xml:space="preserve">   ％</t>
  </si>
  <si>
    <t>金額</t>
  </si>
  <si>
    <t>項目</t>
  </si>
  <si>
    <t xml:space="preserve">   </t>
  </si>
  <si>
    <t xml:space="preserve">   </t>
  </si>
  <si>
    <t>金門酒廠實業股份有限公司</t>
  </si>
  <si>
    <t>金門縣公共車船管理處</t>
  </si>
  <si>
    <t xml:space="preserve"> 短期墊款</t>
  </si>
  <si>
    <t xml:space="preserve">  其他營業費用 </t>
  </si>
  <si>
    <t xml:space="preserve">  財務費用</t>
  </si>
  <si>
    <t xml:space="preserve">  地方政府所得者</t>
  </si>
  <si>
    <t xml:space="preserve">  其他政府機關所得者</t>
  </si>
  <si>
    <t xml:space="preserve">  留存事業機關者</t>
  </si>
  <si>
    <t xml:space="preserve">    未分配盈餘</t>
  </si>
  <si>
    <t>盈餘之部</t>
  </si>
  <si>
    <t xml:space="preserve">  本期純益（純損－）</t>
  </si>
  <si>
    <t xml:space="preserve">  調整非現金項目</t>
  </si>
  <si>
    <t xml:space="preserve">  無形資產及其他資產淨減（淨增－）</t>
  </si>
  <si>
    <t xml:space="preserve">  增加長期投資</t>
  </si>
  <si>
    <t xml:space="preserve">  增加固定資產及遞耗資產</t>
  </si>
  <si>
    <t xml:space="preserve">    投資活動之淨現金流入（流出－）</t>
  </si>
  <si>
    <t xml:space="preserve">  短期債務淨增（淨減－）</t>
  </si>
  <si>
    <t xml:space="preserve">  其他負債淨增（淨減－）</t>
  </si>
  <si>
    <t xml:space="preserve">  發放現金股利</t>
  </si>
  <si>
    <t xml:space="preserve">    融資活動之淨現金流入（流出－）</t>
  </si>
  <si>
    <t>期初現金及約當現金</t>
  </si>
  <si>
    <t>期末現金及約當現金</t>
  </si>
  <si>
    <t xml:space="preserve"> 購建中固定資產</t>
  </si>
  <si>
    <t xml:space="preserve">  增加資本、公積及填補虧損</t>
  </si>
  <si>
    <t xml:space="preserve">  減少固定資產及遞耗資產</t>
  </si>
  <si>
    <t xml:space="preserve">  增加基金及長期應收款</t>
  </si>
  <si>
    <t xml:space="preserve">  減少長期債務</t>
  </si>
  <si>
    <t xml:space="preserve">  業務費用 </t>
  </si>
  <si>
    <t xml:space="preserve">  運輸成本</t>
  </si>
  <si>
    <t xml:space="preserve">    一、財務摘要綜計表………………………………………………</t>
  </si>
  <si>
    <t xml:space="preserve">    二、損益綜計表(依收支科目別)……………………………</t>
  </si>
  <si>
    <t xml:space="preserve">    四、盈虧撥補綜計表(依撥補項目)……………………………………………</t>
  </si>
  <si>
    <t xml:space="preserve">    二、營業利益綜計表………………………………………………</t>
  </si>
  <si>
    <t xml:space="preserve">    三、純益綜計表……………………………………………………</t>
  </si>
  <si>
    <t xml:space="preserve">    四、員工人數綜計表………………………………………………</t>
  </si>
  <si>
    <t xml:space="preserve">    五、用人費用綜計表………………………………………………</t>
  </si>
  <si>
    <t xml:space="preserve">    六、固定資產建設改良擴充綜計表………………………………………………</t>
  </si>
  <si>
    <t xml:space="preserve">    七、長期債務舉借與償還綜計表………………………………………………</t>
  </si>
  <si>
    <t xml:space="preserve">                </t>
  </si>
  <si>
    <t>本年度  決算產銷(營   運)量值</t>
  </si>
  <si>
    <t>營業費用</t>
  </si>
  <si>
    <t>營業利益(損失-)</t>
  </si>
  <si>
    <t>營業外收支之部</t>
  </si>
  <si>
    <t>業主權益</t>
  </si>
  <si>
    <t>負債及淨值總額</t>
  </si>
  <si>
    <t xml:space="preserve">    事業機關負擔者</t>
  </si>
  <si>
    <t>資  產  總  額</t>
  </si>
  <si>
    <t>*本表決算數不含保留數保留數並分計劃及非計畫型</t>
  </si>
  <si>
    <t>本年度決算數</t>
  </si>
  <si>
    <t xml:space="preserve">      長期投資</t>
  </si>
  <si>
    <t>預算數</t>
  </si>
  <si>
    <t>決算數</t>
  </si>
  <si>
    <t xml:space="preserve">    法定公積</t>
  </si>
  <si>
    <t>(決算數)</t>
  </si>
  <si>
    <t>遞延資產</t>
  </si>
  <si>
    <t>第1-18頁</t>
  </si>
  <si>
    <t>第21頁</t>
  </si>
  <si>
    <t>第25頁</t>
  </si>
  <si>
    <t>第29頁</t>
  </si>
  <si>
    <t>第33頁</t>
  </si>
  <si>
    <t>第39-56頁</t>
  </si>
  <si>
    <t>第60頁</t>
  </si>
  <si>
    <t>第61頁</t>
  </si>
  <si>
    <t>第62-65頁</t>
  </si>
  <si>
    <t>第66-67頁</t>
  </si>
  <si>
    <t>第70-71頁</t>
  </si>
  <si>
    <t>第72頁</t>
  </si>
  <si>
    <t xml:space="preserve">    六、現金流量綜計表(依現金流量項目)……………………………………………</t>
  </si>
  <si>
    <t xml:space="preserve">  減少長期投資</t>
  </si>
  <si>
    <t>用人費用綜計表</t>
  </si>
  <si>
    <t>獎金</t>
  </si>
  <si>
    <t>福利金</t>
  </si>
  <si>
    <t xml:space="preserve">  勞務成本</t>
  </si>
  <si>
    <t>營業毛利(毛損－)</t>
  </si>
  <si>
    <t xml:space="preserve">業主權益其他項目 </t>
  </si>
  <si>
    <t>資產</t>
  </si>
  <si>
    <t>負 債</t>
  </si>
  <si>
    <t>流動資產</t>
  </si>
  <si>
    <t xml:space="preserve"> 現金</t>
  </si>
  <si>
    <t xml:space="preserve"> 應收款項</t>
  </si>
  <si>
    <t xml:space="preserve"> 存貨</t>
  </si>
  <si>
    <t xml:space="preserve"> 預付款項</t>
  </si>
  <si>
    <t xml:space="preserve"> 短期墊款</t>
  </si>
  <si>
    <t>基金、投資及長期應收款</t>
  </si>
  <si>
    <t xml:space="preserve"> 長期投資</t>
  </si>
  <si>
    <t>固定資產</t>
  </si>
  <si>
    <t xml:space="preserve"> 土地</t>
  </si>
  <si>
    <t xml:space="preserve"> 土地改良物</t>
  </si>
  <si>
    <t xml:space="preserve"> 房屋及建築</t>
  </si>
  <si>
    <t xml:space="preserve"> 機械及設備</t>
  </si>
  <si>
    <t xml:space="preserve"> 交通及運輸設備</t>
  </si>
  <si>
    <t xml:space="preserve"> 什項設備</t>
  </si>
  <si>
    <t xml:space="preserve"> 購建中固定資產</t>
  </si>
  <si>
    <t>無形資產</t>
  </si>
  <si>
    <t xml:space="preserve"> 無形資產</t>
  </si>
  <si>
    <t>其他資產</t>
  </si>
  <si>
    <t xml:space="preserve"> 非營業資產</t>
  </si>
  <si>
    <t xml:space="preserve"> 什項資產</t>
  </si>
  <si>
    <t xml:space="preserve"> 遞延資產</t>
  </si>
  <si>
    <t>損益部分</t>
  </si>
  <si>
    <t>盈虧撥補部分</t>
  </si>
  <si>
    <t>現金流量部分</t>
  </si>
  <si>
    <t>資產負債及業主權益部分</t>
  </si>
  <si>
    <t>業主權益其他項目</t>
  </si>
  <si>
    <t xml:space="preserve"> 未實現重估增值</t>
  </si>
  <si>
    <t>資產總額</t>
  </si>
  <si>
    <t xml:space="preserve"> 遞延負債</t>
  </si>
  <si>
    <t>金門縣總決算-附屬單位決算及綜計表</t>
  </si>
  <si>
    <t>(營業部分)</t>
  </si>
  <si>
    <t xml:space="preserve">   貨幣單位：新臺幣元</t>
  </si>
  <si>
    <t>每股盈餘  （元）</t>
  </si>
  <si>
    <t>上年度決  算</t>
  </si>
  <si>
    <t>本年度預  算</t>
  </si>
  <si>
    <t>本年度決  算</t>
  </si>
  <si>
    <t xml:space="preserve">    營業活動之淨現金流入（流出－）</t>
  </si>
  <si>
    <t xml:space="preserve">    八、資產負債綜計表(依科目別)……………………………………………</t>
  </si>
  <si>
    <t xml:space="preserve"> 長期負債</t>
  </si>
  <si>
    <t xml:space="preserve"> 其他負債</t>
  </si>
  <si>
    <t xml:space="preserve"> 資本</t>
  </si>
  <si>
    <t xml:space="preserve"> 資本公積</t>
  </si>
  <si>
    <t xml:space="preserve"> 保留盈餘</t>
  </si>
  <si>
    <t xml:space="preserve">  增加固定資產及遞耗資產</t>
  </si>
  <si>
    <t>匯率影響數</t>
  </si>
  <si>
    <t xml:space="preserve"> 匯率影響數</t>
  </si>
  <si>
    <t>本年度</t>
  </si>
  <si>
    <t>預算數</t>
  </si>
  <si>
    <t>比較增減(-)</t>
  </si>
  <si>
    <t>營業費用</t>
  </si>
  <si>
    <t xml:space="preserve">  所得稅</t>
  </si>
  <si>
    <t>合計</t>
  </si>
  <si>
    <t xml:space="preserve">    地方政府所得者</t>
  </si>
  <si>
    <t xml:space="preserve">   應付款項</t>
  </si>
  <si>
    <t xml:space="preserve">   預收款項</t>
  </si>
  <si>
    <t xml:space="preserve">   長期債務</t>
  </si>
  <si>
    <t xml:space="preserve"> 營業及負債準備</t>
  </si>
  <si>
    <t xml:space="preserve"> 遞延負債</t>
  </si>
  <si>
    <t xml:space="preserve"> 什項負債</t>
  </si>
  <si>
    <t xml:space="preserve">   資本</t>
  </si>
  <si>
    <t xml:space="preserve">   資本公積</t>
  </si>
  <si>
    <t xml:space="preserve">   已指撥保留盈餘</t>
  </si>
  <si>
    <t xml:space="preserve">   未指撥保留盈餘</t>
  </si>
  <si>
    <t xml:space="preserve">   累積虧損</t>
  </si>
  <si>
    <t xml:space="preserve">   累積換算調整數</t>
  </si>
  <si>
    <t xml:space="preserve">            </t>
  </si>
  <si>
    <t xml:space="preserve">  勞務成本</t>
  </si>
  <si>
    <t>單位：新臺幣元</t>
  </si>
  <si>
    <t>(預算數)</t>
  </si>
  <si>
    <t>匯率影響數</t>
  </si>
  <si>
    <t>第22-23頁</t>
  </si>
  <si>
    <t>第26-27頁</t>
  </si>
  <si>
    <t>第30-31頁</t>
  </si>
  <si>
    <t>第34-37頁</t>
  </si>
  <si>
    <t>第58-59頁</t>
  </si>
  <si>
    <t xml:space="preserve"> 未認列為退休金成本之淨損失</t>
  </si>
  <si>
    <t xml:space="preserve">      </t>
  </si>
  <si>
    <t xml:space="preserve">  本期純益(損失-)</t>
  </si>
  <si>
    <t xml:space="preserve">    攤銷</t>
  </si>
  <si>
    <t xml:space="preserve">   減少長期投資</t>
  </si>
  <si>
    <t xml:space="preserve">   減少基金及長期應收款</t>
  </si>
  <si>
    <t xml:space="preserve">   增加長期投資</t>
  </si>
  <si>
    <t xml:space="preserve">  減少長期負債</t>
  </si>
  <si>
    <t xml:space="preserve">  發放現金股利</t>
  </si>
  <si>
    <t xml:space="preserve"> 流動負債</t>
  </si>
  <si>
    <t xml:space="preserve">   其他流動負債</t>
  </si>
  <si>
    <t xml:space="preserve">   未實現重估增值</t>
  </si>
  <si>
    <t>負債及業主權益總       額</t>
  </si>
  <si>
    <t>負債及業主權益總額</t>
  </si>
  <si>
    <t>未認列為退休金成本之淨損失</t>
  </si>
  <si>
    <t>營業利益   或損失(─)</t>
  </si>
  <si>
    <t>營業利益或損失（─）</t>
  </si>
  <si>
    <t>經營效能比率%</t>
  </si>
  <si>
    <t>金額</t>
  </si>
  <si>
    <t>純益        或純損(─)</t>
  </si>
  <si>
    <t>獲利能力比率%</t>
  </si>
  <si>
    <t>純益        或純損（─）</t>
  </si>
  <si>
    <t>本年度終業主權益</t>
  </si>
  <si>
    <t>金門縣公共車船管理處</t>
  </si>
  <si>
    <t>金門縣浯江輪渡有限公司</t>
  </si>
  <si>
    <t>甲、總說明</t>
  </si>
  <si>
    <t>乙、綜計表</t>
  </si>
  <si>
    <t>丙、查核意見表</t>
  </si>
  <si>
    <t>丁、參考表</t>
  </si>
  <si>
    <t>甲、總說明…………………………………………………………</t>
  </si>
  <si>
    <t>丙、查核意見表………………………………………………………………</t>
  </si>
  <si>
    <t>數字包含廈門</t>
  </si>
  <si>
    <t xml:space="preserve">      填補虧損</t>
  </si>
  <si>
    <t xml:space="preserve">  增加資本公積金填補虧損淨增(淨減-)</t>
  </si>
  <si>
    <t xml:space="preserve">退撫 </t>
  </si>
  <si>
    <t xml:space="preserve">    沖轉遞延負債</t>
  </si>
  <si>
    <t xml:space="preserve">   營業活動之淨現金流入（流出－）</t>
  </si>
  <si>
    <t xml:space="preserve">   投資活動之淨現金流入（流出－）</t>
  </si>
  <si>
    <t xml:space="preserve">  融資活動之淨現金流入（流出－）</t>
  </si>
  <si>
    <t>自來水</t>
  </si>
  <si>
    <t>立方公尺</t>
  </si>
  <si>
    <t>加水站售水</t>
  </si>
  <si>
    <t>金酒</t>
  </si>
  <si>
    <t>廈門</t>
  </si>
  <si>
    <t>審定數</t>
  </si>
  <si>
    <t>第68頁</t>
  </si>
  <si>
    <t>目         次</t>
  </si>
  <si>
    <t xml:space="preserve">    填補虧損</t>
  </si>
  <si>
    <t>浯江輪渡有限公司</t>
  </si>
  <si>
    <t>公共渡輪載客</t>
  </si>
  <si>
    <t xml:space="preserve">　　　　                            </t>
  </si>
  <si>
    <t>無形資產</t>
  </si>
  <si>
    <t xml:space="preserve">    遞延所得稅</t>
  </si>
  <si>
    <t xml:space="preserve">      股(官)息紅利 (現金股利)</t>
  </si>
  <si>
    <t>屬單位決算</t>
  </si>
  <si>
    <t xml:space="preserve"> 金門縣附</t>
  </si>
  <si>
    <t xml:space="preserve">      股息紅利 (現金股利)</t>
  </si>
  <si>
    <t>單位:新臺幣元</t>
  </si>
  <si>
    <t xml:space="preserve">      盈虧撥補綜計表  </t>
  </si>
  <si>
    <t>單位:新台幣百萬元</t>
  </si>
  <si>
    <t xml:space="preserve"> (依收支科目分列)</t>
  </si>
  <si>
    <t xml:space="preserve">     損益綜計表  </t>
  </si>
  <si>
    <t xml:space="preserve"> 金門縣附</t>
  </si>
  <si>
    <t>屬單位決算</t>
  </si>
  <si>
    <t>盈虧撥</t>
  </si>
  <si>
    <t>補綜計表</t>
  </si>
  <si>
    <r>
      <t xml:space="preserve"> </t>
    </r>
    <r>
      <rPr>
        <u val="single"/>
        <sz val="16"/>
        <rFont val="標楷體"/>
        <family val="4"/>
      </rPr>
      <t>金門縣附屬單位決算</t>
    </r>
  </si>
  <si>
    <t xml:space="preserve">       中華民國    </t>
  </si>
  <si>
    <t>現金流</t>
  </si>
  <si>
    <t>量綜計表</t>
  </si>
  <si>
    <t xml:space="preserve">         中華民    </t>
  </si>
  <si>
    <t>資產負</t>
  </si>
  <si>
    <t>債綜計表</t>
  </si>
  <si>
    <t xml:space="preserve"> </t>
  </si>
  <si>
    <t xml:space="preserve"> 金門縣附屬單位決算</t>
  </si>
  <si>
    <t xml:space="preserve">資產負債綜計表  </t>
  </si>
  <si>
    <t xml:space="preserve">金門縣金門酒廠實業股份有限公司查核意見表 </t>
  </si>
  <si>
    <t xml:space="preserve">金門縣金門陶瓷廠查核意見表 </t>
  </si>
  <si>
    <t xml:space="preserve">金門縣金門日報社查核意見表 </t>
  </si>
  <si>
    <t xml:space="preserve">金門縣公共車船管理處查核意見表 </t>
  </si>
  <si>
    <t xml:space="preserve">金門縣浯江輪渡有限公司查核意見表 </t>
  </si>
  <si>
    <t xml:space="preserve">金門縣自來水廠查核意見表 </t>
  </si>
  <si>
    <t>屬單位決算</t>
  </si>
  <si>
    <t>金門縣附</t>
  </si>
  <si>
    <t xml:space="preserve">     營業利益綜計表</t>
  </si>
  <si>
    <t xml:space="preserve">    純益綜計表</t>
  </si>
  <si>
    <t>金門縣附</t>
  </si>
  <si>
    <t>員工人</t>
  </si>
  <si>
    <t>數綜計表</t>
  </si>
  <si>
    <t>金門縣附</t>
  </si>
  <si>
    <t>屬單位決算</t>
  </si>
  <si>
    <t xml:space="preserve">     用人費用綜計表</t>
  </si>
  <si>
    <t>長期債務舉借</t>
  </si>
  <si>
    <t>經營指標（經營績效）綜計表</t>
  </si>
  <si>
    <t>經營指標（成長分析）綜計表</t>
  </si>
  <si>
    <t xml:space="preserve"> 金門縣附</t>
  </si>
  <si>
    <t>屬單位決算</t>
  </si>
  <si>
    <t>中華民</t>
  </si>
  <si>
    <t xml:space="preserve">   增加基金及長期應收款</t>
  </si>
  <si>
    <t xml:space="preserve">  其他負債淨增（淨減－）</t>
  </si>
  <si>
    <t xml:space="preserve">  長期負債淨增(淨減－)</t>
  </si>
  <si>
    <t xml:space="preserve">      股息紅利 (股票股利)</t>
  </si>
  <si>
    <t xml:space="preserve">  減少長期負債</t>
  </si>
  <si>
    <t>上年度終業主權益</t>
  </si>
  <si>
    <t xml:space="preserve">  調整非現金項目</t>
  </si>
  <si>
    <t xml:space="preserve"> 單位:新臺幣元     </t>
  </si>
  <si>
    <t>加增</t>
  </si>
  <si>
    <t xml:space="preserve">  累積虧損</t>
  </si>
  <si>
    <t xml:space="preserve"> 待整理負債</t>
  </si>
  <si>
    <t>(依基金別分列)</t>
  </si>
  <si>
    <t>(依撥補項目分列)</t>
  </si>
  <si>
    <t xml:space="preserve"> (依科目分列)</t>
  </si>
  <si>
    <t>比較增(+)減(-)</t>
  </si>
  <si>
    <t>單位:新臺幣元</t>
  </si>
  <si>
    <t>基金與           產品(營運項目)名稱</t>
  </si>
  <si>
    <t>(依基金別分列)</t>
  </si>
  <si>
    <t>基金名稱</t>
  </si>
  <si>
    <t>借款   用途</t>
  </si>
  <si>
    <t xml:space="preserve">舉          借          （          償     </t>
  </si>
  <si>
    <t>還          ）          對          象</t>
  </si>
  <si>
    <t>純益</t>
  </si>
  <si>
    <t>購建中固定資產</t>
  </si>
  <si>
    <t xml:space="preserve"> 其他營業成本</t>
  </si>
  <si>
    <t>公共渡輪載車</t>
  </si>
  <si>
    <t xml:space="preserve"> 租賃改良物</t>
  </si>
  <si>
    <t>無障礙運輸收入</t>
  </si>
  <si>
    <t>租包車收入</t>
  </si>
  <si>
    <r>
      <t xml:space="preserve">                     現金流量綜計表      </t>
    </r>
    <r>
      <rPr>
        <sz val="12"/>
        <rFont val="標楷體"/>
        <family val="4"/>
      </rPr>
      <t xml:space="preserve"> (依現金流量項目分列)    </t>
    </r>
    <r>
      <rPr>
        <sz val="16"/>
        <rFont val="標楷體"/>
        <family val="4"/>
      </rPr>
      <t xml:space="preserve">         </t>
    </r>
  </si>
  <si>
    <t xml:space="preserve">    三、損益綜計表(依基金別)…………………………………….</t>
  </si>
  <si>
    <t xml:space="preserve">    五、盈虧撥補綜計表(依基金別)……………………………………………</t>
  </si>
  <si>
    <t xml:space="preserve">    七、現金流量綜計表(依基金別)……………………………………………</t>
  </si>
  <si>
    <t xml:space="preserve">    九、資產負債綜計表(依基金別)……………………………………………</t>
  </si>
  <si>
    <t xml:space="preserve">    一、主要產品產銷(營運)量值綜計表………………………………………………</t>
  </si>
  <si>
    <t xml:space="preserve">    八、經營指標(財務地位)綜計表………………………………………………</t>
  </si>
  <si>
    <t xml:space="preserve">    九、經營指標(經營績效)綜計表………………………………………………</t>
  </si>
  <si>
    <t>第73頁</t>
  </si>
  <si>
    <t>第74頁</t>
  </si>
  <si>
    <t xml:space="preserve"> </t>
  </si>
  <si>
    <t xml:space="preserve">      股(官)息紅利 (股票股利)</t>
  </si>
  <si>
    <t>投資活動之現金流量</t>
  </si>
  <si>
    <t xml:space="preserve">  其他負債淨增(淨減-)</t>
  </si>
  <si>
    <t xml:space="preserve">  預付款項</t>
  </si>
  <si>
    <t>遞延費用</t>
  </si>
  <si>
    <t xml:space="preserve">  短期墊款</t>
  </si>
  <si>
    <t>報紙發行</t>
  </si>
  <si>
    <t>廣告</t>
  </si>
  <si>
    <t>印刷</t>
  </si>
  <si>
    <t>公車載客業務</t>
  </si>
  <si>
    <t>觀光公車乘車券</t>
  </si>
  <si>
    <t>以前年度      保留數</t>
  </si>
  <si>
    <t>本年度預算數</t>
  </si>
  <si>
    <t>本年度奉准先行辦理數</t>
  </si>
  <si>
    <t>業主權益對長期資本之比率（％）</t>
  </si>
  <si>
    <t>負債總額對業主權益之倍數（％）</t>
  </si>
  <si>
    <t xml:space="preserve">  增加資本、公積及填補虧損</t>
  </si>
  <si>
    <t xml:space="preserve">                                                                                                                                       </t>
  </si>
  <si>
    <t>104決營收</t>
  </si>
  <si>
    <t>中華民</t>
  </si>
  <si>
    <t>104決權</t>
  </si>
  <si>
    <t>酒瓶類</t>
  </si>
  <si>
    <t>藝品類</t>
  </si>
  <si>
    <t>營業總收入</t>
  </si>
  <si>
    <t>營業總支出</t>
  </si>
  <si>
    <t>縣庫分得股(官)息紅利</t>
  </si>
  <si>
    <t>留存事業機關盈餘</t>
  </si>
  <si>
    <t>事業機關負擔虧損</t>
  </si>
  <si>
    <t xml:space="preserve">    股（官）息紅利 (現金股利)</t>
  </si>
  <si>
    <t xml:space="preserve">    股（官）息紅利(股票股利)</t>
  </si>
  <si>
    <t xml:space="preserve">    股（官）息紅利(現金股利)</t>
  </si>
  <si>
    <t xml:space="preserve"> 業務費用 </t>
  </si>
  <si>
    <t xml:space="preserve"> 其他營業費用 </t>
  </si>
  <si>
    <t>60度高粱酒</t>
  </si>
  <si>
    <t>公升</t>
  </si>
  <si>
    <t>件</t>
  </si>
  <si>
    <t>份</t>
  </si>
  <si>
    <t>版面</t>
  </si>
  <si>
    <t>個</t>
  </si>
  <si>
    <t>人次</t>
  </si>
  <si>
    <t>張</t>
  </si>
  <si>
    <t>車次</t>
  </si>
  <si>
    <t>時</t>
  </si>
  <si>
    <t>輛</t>
  </si>
  <si>
    <t>第19頁</t>
  </si>
  <si>
    <t xml:space="preserve">    十、經營指標(成長分析)綜計表………………………………………………</t>
  </si>
  <si>
    <t xml:space="preserve">    公積轉列數</t>
  </si>
  <si>
    <t xml:space="preserve"> </t>
  </si>
  <si>
    <t xml:space="preserve"> </t>
  </si>
  <si>
    <t xml:space="preserve">  公積轉列數</t>
  </si>
  <si>
    <t xml:space="preserve">  增加長期債務</t>
  </si>
  <si>
    <t>105決營收</t>
  </si>
  <si>
    <t>105長期負債</t>
  </si>
  <si>
    <t>105負債總</t>
  </si>
  <si>
    <t>105權預</t>
  </si>
  <si>
    <t>105平權決</t>
  </si>
  <si>
    <t>105決權</t>
  </si>
  <si>
    <t>105預權</t>
  </si>
  <si>
    <t xml:space="preserve">    中華民國106年12月31日</t>
  </si>
  <si>
    <t>國106年度</t>
  </si>
  <si>
    <t>106年12月31日</t>
  </si>
  <si>
    <t xml:space="preserve">中華民國106年度    </t>
  </si>
  <si>
    <t xml:space="preserve">中華民國106年度    </t>
  </si>
  <si>
    <t xml:space="preserve">中 華 民 國 106年 度    </t>
  </si>
  <si>
    <t xml:space="preserve">中 華 民 國106年 度    </t>
  </si>
  <si>
    <t>國106年度</t>
  </si>
  <si>
    <t xml:space="preserve">  公積轉列數</t>
  </si>
  <si>
    <t xml:space="preserve">  本期純損</t>
  </si>
  <si>
    <t xml:space="preserve">中 華 民 國 106年 度    </t>
  </si>
  <si>
    <t>中華民國106年度</t>
  </si>
  <si>
    <t>106年度</t>
  </si>
  <si>
    <t xml:space="preserve">     中華民國106年度 </t>
  </si>
  <si>
    <t xml:space="preserve">    其他</t>
  </si>
  <si>
    <t xml:space="preserve">中華民國106年度       </t>
  </si>
  <si>
    <t>中華民國106年度</t>
  </si>
  <si>
    <t>國106年度</t>
  </si>
  <si>
    <t xml:space="preserve">    中華民國106年度</t>
  </si>
  <si>
    <t>中華民國106年度</t>
  </si>
  <si>
    <t>國106年度</t>
  </si>
  <si>
    <t>105資產</t>
  </si>
  <si>
    <t>105權益</t>
  </si>
  <si>
    <t>105長債權益</t>
  </si>
  <si>
    <t>106資產</t>
  </si>
  <si>
    <t>106長期負債</t>
  </si>
  <si>
    <t>106負債總</t>
  </si>
  <si>
    <t>106權益</t>
  </si>
  <si>
    <t>106長債權益</t>
  </si>
  <si>
    <t>106決營收</t>
  </si>
  <si>
    <t>106預營收</t>
  </si>
  <si>
    <t>106決營收</t>
  </si>
  <si>
    <t>106預營收</t>
  </si>
  <si>
    <t>105決營收</t>
  </si>
  <si>
    <t>106決營收</t>
  </si>
  <si>
    <t>105預營收</t>
  </si>
  <si>
    <t>105權決</t>
  </si>
  <si>
    <t>106權決</t>
  </si>
  <si>
    <t>審定</t>
  </si>
  <si>
    <t>104權決</t>
  </si>
  <si>
    <t>106平權決</t>
  </si>
  <si>
    <t>106權預</t>
  </si>
  <si>
    <t>106平權預</t>
  </si>
  <si>
    <t>106股數(每股十元設算)</t>
  </si>
  <si>
    <t>106決權</t>
  </si>
  <si>
    <t>106預權</t>
  </si>
  <si>
    <t>-</t>
  </si>
  <si>
    <t>大陸引水及擴建計畫工程借款，10
6年度保留金額為930,243,000元，已簽約金額為450,000,000元，實
際請撥款項為0元。</t>
  </si>
  <si>
    <t>審</t>
  </si>
  <si>
    <t>資產預算數</t>
  </si>
  <si>
    <t>金酒</t>
  </si>
  <si>
    <t>陶瓷廠</t>
  </si>
  <si>
    <t>日報社</t>
  </si>
  <si>
    <t>車船處</t>
  </si>
  <si>
    <t>輪渡公司</t>
  </si>
  <si>
    <t>自來水廠</t>
  </si>
  <si>
    <t>預算平均</t>
  </si>
  <si>
    <t>TOTAL</t>
  </si>
  <si>
    <t>106年營業總支出</t>
  </si>
  <si>
    <t>營業成本</t>
  </si>
  <si>
    <t>營業費用</t>
  </si>
  <si>
    <t>營業外費用</t>
  </si>
  <si>
    <t>所得稅</t>
  </si>
  <si>
    <t>金酒</t>
  </si>
  <si>
    <t>差異</t>
  </si>
  <si>
    <t>比例</t>
  </si>
  <si>
    <t>決算數</t>
  </si>
  <si>
    <t>營業收入</t>
  </si>
  <si>
    <t>營業外收入</t>
  </si>
  <si>
    <t>陶瓷</t>
  </si>
  <si>
    <t>日報</t>
  </si>
  <si>
    <t>車船</t>
  </si>
  <si>
    <t>輪渡</t>
  </si>
  <si>
    <t>水廠</t>
  </si>
  <si>
    <t>營業收入預算數</t>
  </si>
  <si>
    <t>營業外收入預算數</t>
  </si>
  <si>
    <t>合計</t>
  </si>
  <si>
    <t>預算數合計</t>
  </si>
  <si>
    <t>占預算數比例</t>
  </si>
  <si>
    <r>
      <t xml:space="preserve"> </t>
    </r>
    <r>
      <rPr>
        <sz val="10"/>
        <color indexed="8"/>
        <rFont val="標楷體"/>
        <family val="4"/>
      </rPr>
      <t>流動資產</t>
    </r>
  </si>
  <si>
    <r>
      <t xml:space="preserve">     </t>
    </r>
    <r>
      <rPr>
        <sz val="10"/>
        <color indexed="8"/>
        <rFont val="標楷體"/>
        <family val="4"/>
      </rPr>
      <t>現金</t>
    </r>
  </si>
  <si>
    <r>
      <t xml:space="preserve">     </t>
    </r>
    <r>
      <rPr>
        <sz val="10"/>
        <color indexed="8"/>
        <rFont val="標楷體"/>
        <family val="4"/>
      </rPr>
      <t>應收款項</t>
    </r>
  </si>
  <si>
    <r>
      <t xml:space="preserve">     </t>
    </r>
    <r>
      <rPr>
        <sz val="10"/>
        <color indexed="8"/>
        <rFont val="標楷體"/>
        <family val="4"/>
      </rPr>
      <t>存貨</t>
    </r>
  </si>
  <si>
    <r>
      <t xml:space="preserve">     </t>
    </r>
    <r>
      <rPr>
        <sz val="10"/>
        <color indexed="8"/>
        <rFont val="標楷體"/>
        <family val="4"/>
      </rPr>
      <t>預付款項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</si>
  <si>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</si>
  <si>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</si>
  <si>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</si>
  <si>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</si>
  <si>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</si>
  <si>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</si>
  <si>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</si>
  <si>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  </t>
    </r>
    <r>
      <rPr>
        <sz val="10"/>
        <color indexed="8"/>
        <rFont val="標楷體"/>
        <family val="4"/>
      </rPr>
      <t>租賃權益改良</t>
    </r>
  </si>
  <si>
    <r>
      <t xml:space="preserve"> </t>
    </r>
    <r>
      <rPr>
        <sz val="10"/>
        <color indexed="8"/>
        <rFont val="標楷體"/>
        <family val="4"/>
      </rPr>
      <t>無形資產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</si>
  <si>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</si>
  <si>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</si>
  <si>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</si>
  <si>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</t>
    </r>
    <r>
      <rPr>
        <sz val="10"/>
        <color indexed="8"/>
        <rFont val="標楷體"/>
        <family val="4"/>
      </rPr>
      <t>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額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</si>
  <si>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</si>
  <si>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</si>
  <si>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</si>
  <si>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</si>
  <si>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  </t>
    </r>
    <r>
      <rPr>
        <sz val="10"/>
        <color indexed="8"/>
        <rFont val="標楷體"/>
        <family val="4"/>
      </rPr>
      <t>其他流動負債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</si>
  <si>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</si>
  <si>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</si>
  <si>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</si>
  <si>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</si>
  <si>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  </t>
    </r>
    <r>
      <rPr>
        <sz val="10"/>
        <color indexed="8"/>
        <rFont val="標楷體"/>
        <family val="4"/>
      </rPr>
      <t>遞延負債</t>
    </r>
  </si>
  <si>
    <r>
      <t xml:space="preserve">   </t>
    </r>
    <r>
      <rPr>
        <sz val="10"/>
        <color indexed="8"/>
        <rFont val="標楷體"/>
        <family val="4"/>
      </rPr>
      <t>待整理負債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</si>
  <si>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</si>
  <si>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</si>
  <si>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</si>
  <si>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</si>
  <si>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(-)</t>
    </r>
  </si>
  <si>
    <r>
      <t xml:space="preserve">   </t>
    </r>
    <r>
      <rPr>
        <sz val="10"/>
        <color indexed="8"/>
        <rFont val="標楷體"/>
        <family val="4"/>
      </rPr>
      <t>已指撥保留盈餘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</si>
  <si>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</si>
  <si>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</t>
    </r>
    <r>
      <rPr>
        <sz val="10"/>
        <color indexed="8"/>
        <rFont val="標楷體"/>
        <family val="4"/>
      </rPr>
      <t>權益調整</t>
    </r>
  </si>
  <si>
    <r>
      <t xml:space="preserve">   </t>
    </r>
    <r>
      <rPr>
        <sz val="10"/>
        <color indexed="8"/>
        <rFont val="標楷體"/>
        <family val="4"/>
      </rPr>
      <t>累積換算調整數</t>
    </r>
  </si>
  <si>
    <r>
      <t xml:space="preserve"> </t>
    </r>
    <r>
      <rPr>
        <sz val="10"/>
        <color indexed="8"/>
        <rFont val="標楷體"/>
        <family val="4"/>
      </rPr>
      <t>流動資產</t>
    </r>
  </si>
  <si>
    <r>
      <t xml:space="preserve">     </t>
    </r>
    <r>
      <rPr>
        <sz val="10"/>
        <color indexed="8"/>
        <rFont val="標楷體"/>
        <family val="4"/>
      </rPr>
      <t>現金</t>
    </r>
  </si>
  <si>
    <r>
      <t xml:space="preserve">     </t>
    </r>
    <r>
      <rPr>
        <sz val="10"/>
        <color indexed="8"/>
        <rFont val="標楷體"/>
        <family val="4"/>
      </rPr>
      <t>應收款項</t>
    </r>
  </si>
  <si>
    <r>
      <t xml:space="preserve">     </t>
    </r>
    <r>
      <rPr>
        <sz val="10"/>
        <color indexed="8"/>
        <rFont val="標楷體"/>
        <family val="4"/>
      </rPr>
      <t>存貨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</si>
  <si>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</si>
  <si>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</si>
  <si>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</si>
  <si>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</si>
  <si>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</si>
  <si>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</si>
  <si>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</si>
  <si>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</t>
    </r>
    <r>
      <rPr>
        <sz val="10"/>
        <color indexed="8"/>
        <rFont val="標楷體"/>
        <family val="4"/>
      </rPr>
      <t>無形資產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</si>
  <si>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</si>
  <si>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</si>
  <si>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</si>
  <si>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</si>
  <si>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</si>
  <si>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</si>
  <si>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</si>
  <si>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</si>
  <si>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</si>
  <si>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</si>
  <si>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營業及負債準備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</si>
  <si>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</si>
  <si>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  </t>
    </r>
    <r>
      <rPr>
        <sz val="10"/>
        <color indexed="8"/>
        <rFont val="標楷體"/>
        <family val="4"/>
      </rPr>
      <t>遞延負債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</si>
  <si>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</si>
  <si>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</si>
  <si>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</si>
  <si>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</si>
  <si>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(-)</t>
    </r>
  </si>
  <si>
    <r>
      <t xml:space="preserve">   </t>
    </r>
    <r>
      <rPr>
        <sz val="10"/>
        <color indexed="8"/>
        <rFont val="標楷體"/>
        <family val="4"/>
      </rPr>
      <t>已指撥保留盈餘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</si>
  <si>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</si>
  <si>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  </t>
    </r>
    <r>
      <rPr>
        <sz val="10"/>
        <color indexed="8"/>
        <rFont val="標楷體"/>
        <family val="4"/>
      </rPr>
      <t>累積虧損</t>
    </r>
  </si>
  <si>
    <r>
      <t xml:space="preserve"> </t>
    </r>
    <r>
      <rPr>
        <sz val="10"/>
        <color indexed="8"/>
        <rFont val="標楷體"/>
        <family val="4"/>
      </rPr>
      <t>流動資產</t>
    </r>
  </si>
  <si>
    <r>
      <t xml:space="preserve">     </t>
    </r>
    <r>
      <rPr>
        <sz val="10"/>
        <color indexed="8"/>
        <rFont val="標楷體"/>
        <family val="4"/>
      </rPr>
      <t>現金</t>
    </r>
  </si>
  <si>
    <r>
      <t xml:space="preserve">     </t>
    </r>
    <r>
      <rPr>
        <sz val="10"/>
        <color indexed="8"/>
        <rFont val="標楷體"/>
        <family val="4"/>
      </rPr>
      <t>應收款項</t>
    </r>
  </si>
  <si>
    <r>
      <t xml:space="preserve">     </t>
    </r>
    <r>
      <rPr>
        <sz val="10"/>
        <color indexed="8"/>
        <rFont val="標楷體"/>
        <family val="4"/>
      </rPr>
      <t>存貨</t>
    </r>
  </si>
  <si>
    <r>
      <t xml:space="preserve">     </t>
    </r>
    <r>
      <rPr>
        <sz val="10"/>
        <color indexed="8"/>
        <rFont val="標楷體"/>
        <family val="4"/>
      </rPr>
      <t>預付款項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</si>
  <si>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</si>
  <si>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</si>
  <si>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</si>
  <si>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</si>
  <si>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</si>
  <si>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</si>
  <si>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</si>
  <si>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</t>
    </r>
    <r>
      <rPr>
        <sz val="10"/>
        <color indexed="8"/>
        <rFont val="標楷體"/>
        <family val="4"/>
      </rPr>
      <t>無形資產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</si>
  <si>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</si>
  <si>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</si>
  <si>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</si>
  <si>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  </t>
    </r>
    <r>
      <rPr>
        <sz val="10"/>
        <color indexed="8"/>
        <rFont val="標楷體"/>
        <family val="4"/>
      </rPr>
      <t>非營業資產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</si>
  <si>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</si>
  <si>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</si>
  <si>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</si>
  <si>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</si>
  <si>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</si>
  <si>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</si>
  <si>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</si>
  <si>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</si>
  <si>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  </t>
    </r>
    <r>
      <rPr>
        <sz val="10"/>
        <color indexed="8"/>
        <rFont val="標楷體"/>
        <family val="4"/>
      </rPr>
      <t>遞延負債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</si>
  <si>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</si>
  <si>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</si>
  <si>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</si>
  <si>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</si>
  <si>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或累積虧損</t>
    </r>
    <r>
      <rPr>
        <sz val="10"/>
        <color indexed="8"/>
        <rFont val="Times New Roman"/>
        <family val="1"/>
      </rPr>
      <t>-)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</si>
  <si>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</si>
  <si>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  </t>
    </r>
    <r>
      <rPr>
        <sz val="10"/>
        <color indexed="8"/>
        <rFont val="標楷體"/>
        <family val="4"/>
      </rPr>
      <t>累積虧損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</si>
  <si>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</si>
  <si>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</si>
  <si>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</si>
  <si>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</si>
  <si>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</si>
  <si>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</si>
  <si>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</si>
  <si>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</si>
  <si>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</si>
  <si>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</si>
  <si>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</si>
  <si>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</si>
  <si>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</si>
  <si>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</si>
  <si>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</si>
  <si>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</si>
  <si>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</si>
  <si>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營業及負債準備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</si>
  <si>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</si>
  <si>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 </t>
    </r>
    <r>
      <rPr>
        <sz val="10"/>
        <color indexed="8"/>
        <rFont val="標楷體"/>
        <family val="4"/>
      </rPr>
      <t>遞延負債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</si>
  <si>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</si>
  <si>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</si>
  <si>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</si>
  <si>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</si>
  <si>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或累積虧損</t>
    </r>
    <r>
      <rPr>
        <sz val="10"/>
        <color indexed="8"/>
        <rFont val="Times New Roman"/>
        <family val="1"/>
      </rPr>
      <t>-)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</si>
  <si>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</si>
  <si>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  </t>
    </r>
    <r>
      <rPr>
        <sz val="10"/>
        <color indexed="8"/>
        <rFont val="標楷體"/>
        <family val="4"/>
      </rPr>
      <t>累積虧損</t>
    </r>
  </si>
  <si>
    <r>
      <t xml:space="preserve"> </t>
    </r>
    <r>
      <rPr>
        <sz val="10"/>
        <color indexed="8"/>
        <rFont val="標楷體"/>
        <family val="4"/>
      </rPr>
      <t>流動資產</t>
    </r>
  </si>
  <si>
    <r>
      <t xml:space="preserve">     </t>
    </r>
    <r>
      <rPr>
        <sz val="10"/>
        <color indexed="8"/>
        <rFont val="標楷體"/>
        <family val="4"/>
      </rPr>
      <t>現金</t>
    </r>
  </si>
  <si>
    <r>
      <t xml:space="preserve">     </t>
    </r>
    <r>
      <rPr>
        <sz val="10"/>
        <color indexed="8"/>
        <rFont val="標楷體"/>
        <family val="4"/>
      </rPr>
      <t>應收款項</t>
    </r>
  </si>
  <si>
    <r>
      <t xml:space="preserve">     </t>
    </r>
    <r>
      <rPr>
        <sz val="10"/>
        <color indexed="8"/>
        <rFont val="標楷體"/>
        <family val="4"/>
      </rPr>
      <t>存貨</t>
    </r>
  </si>
  <si>
    <r>
      <t xml:space="preserve">     </t>
    </r>
    <r>
      <rPr>
        <sz val="10"/>
        <color indexed="8"/>
        <rFont val="標楷體"/>
        <family val="4"/>
      </rPr>
      <t>預付款項</t>
    </r>
  </si>
  <si>
    <r>
      <t xml:space="preserve">     </t>
    </r>
    <r>
      <rPr>
        <sz val="10"/>
        <color indexed="8"/>
        <rFont val="標楷體"/>
        <family val="4"/>
      </rPr>
      <t>短期墊款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</si>
  <si>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</si>
  <si>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</si>
  <si>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</si>
  <si>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</si>
  <si>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</si>
  <si>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</si>
  <si>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</si>
  <si>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</t>
    </r>
    <r>
      <rPr>
        <sz val="10"/>
        <color indexed="8"/>
        <rFont val="標楷體"/>
        <family val="4"/>
      </rPr>
      <t>無形資產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</si>
  <si>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</si>
  <si>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</si>
  <si>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非營業資產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</si>
  <si>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</si>
  <si>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  </t>
    </r>
    <r>
      <rPr>
        <sz val="10"/>
        <color indexed="8"/>
        <rFont val="標楷體"/>
        <family val="4"/>
      </rPr>
      <t>遞延費用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</si>
  <si>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</si>
  <si>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</si>
  <si>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</si>
  <si>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</si>
  <si>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</si>
  <si>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</si>
  <si>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</si>
  <si>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營業及負債準備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</si>
  <si>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</si>
  <si>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  </t>
    </r>
    <r>
      <rPr>
        <sz val="10"/>
        <color indexed="8"/>
        <rFont val="標楷體"/>
        <family val="4"/>
      </rPr>
      <t>遞延負債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</si>
  <si>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</si>
  <si>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</si>
  <si>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</si>
  <si>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</si>
  <si>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(-)</t>
    </r>
  </si>
  <si>
    <r>
      <t xml:space="preserve">   </t>
    </r>
    <r>
      <rPr>
        <sz val="10"/>
        <color indexed="8"/>
        <rFont val="標楷體"/>
        <family val="4"/>
      </rPr>
      <t>已指撥保留盈餘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</si>
  <si>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</si>
  <si>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</t>
    </r>
    <r>
      <rPr>
        <sz val="10"/>
        <color indexed="8"/>
        <rFont val="標楷體"/>
        <family val="4"/>
      </rPr>
      <t>流動資產</t>
    </r>
  </si>
  <si>
    <r>
      <t xml:space="preserve">     </t>
    </r>
    <r>
      <rPr>
        <sz val="10"/>
        <color indexed="8"/>
        <rFont val="標楷體"/>
        <family val="4"/>
      </rPr>
      <t>現金</t>
    </r>
  </si>
  <si>
    <r>
      <t xml:space="preserve">     </t>
    </r>
    <r>
      <rPr>
        <sz val="10"/>
        <color indexed="8"/>
        <rFont val="標楷體"/>
        <family val="4"/>
      </rPr>
      <t>應收款項</t>
    </r>
  </si>
  <si>
    <r>
      <t xml:space="preserve">     </t>
    </r>
    <r>
      <rPr>
        <sz val="10"/>
        <color indexed="8"/>
        <rFont val="標楷體"/>
        <family val="4"/>
      </rPr>
      <t>存貨</t>
    </r>
  </si>
  <si>
    <r>
      <t xml:space="preserve">     </t>
    </r>
    <r>
      <rPr>
        <sz val="10"/>
        <color indexed="8"/>
        <rFont val="標楷體"/>
        <family val="4"/>
      </rPr>
      <t>短期墊款</t>
    </r>
  </si>
  <si>
    <r>
      <t xml:space="preserve"> </t>
    </r>
    <r>
      <rPr>
        <sz val="10"/>
        <color indexed="8"/>
        <rFont val="標楷體"/>
        <family val="4"/>
      </rPr>
      <t>固定資產</t>
    </r>
  </si>
  <si>
    <r>
      <t xml:space="preserve">   </t>
    </r>
    <r>
      <rPr>
        <sz val="10"/>
        <color indexed="8"/>
        <rFont val="標楷體"/>
        <family val="4"/>
      </rPr>
      <t>土地</t>
    </r>
  </si>
  <si>
    <r>
      <t xml:space="preserve">   </t>
    </r>
    <r>
      <rPr>
        <sz val="10"/>
        <color indexed="8"/>
        <rFont val="標楷體"/>
        <family val="4"/>
      </rPr>
      <t>土地改良物</t>
    </r>
  </si>
  <si>
    <r>
      <t xml:space="preserve">   </t>
    </r>
    <r>
      <rPr>
        <sz val="10"/>
        <color indexed="8"/>
        <rFont val="標楷體"/>
        <family val="4"/>
      </rPr>
      <t>房屋及建築</t>
    </r>
  </si>
  <si>
    <r>
      <t xml:space="preserve">   </t>
    </r>
    <r>
      <rPr>
        <sz val="10"/>
        <color indexed="8"/>
        <rFont val="標楷體"/>
        <family val="4"/>
      </rPr>
      <t>機械設備</t>
    </r>
  </si>
  <si>
    <r>
      <t xml:space="preserve">   </t>
    </r>
    <r>
      <rPr>
        <sz val="10"/>
        <color indexed="8"/>
        <rFont val="標楷體"/>
        <family val="4"/>
      </rPr>
      <t>交通及運輸設備</t>
    </r>
  </si>
  <si>
    <r>
      <t xml:space="preserve">   </t>
    </r>
    <r>
      <rPr>
        <sz val="10"/>
        <color indexed="8"/>
        <rFont val="標楷體"/>
        <family val="4"/>
      </rPr>
      <t>什項設備</t>
    </r>
  </si>
  <si>
    <r>
      <t xml:space="preserve"> </t>
    </r>
    <r>
      <rPr>
        <sz val="10"/>
        <color indexed="8"/>
        <rFont val="標楷體"/>
        <family val="4"/>
      </rPr>
      <t>無形資產</t>
    </r>
  </si>
  <si>
    <r>
      <t xml:space="preserve">   </t>
    </r>
    <r>
      <rPr>
        <sz val="10"/>
        <color indexed="8"/>
        <rFont val="標楷體"/>
        <family val="4"/>
      </rPr>
      <t>無形資產</t>
    </r>
  </si>
  <si>
    <r>
      <t xml:space="preserve"> </t>
    </r>
    <r>
      <rPr>
        <sz val="10"/>
        <color indexed="8"/>
        <rFont val="標楷體"/>
        <family val="4"/>
      </rPr>
      <t>其他資產</t>
    </r>
  </si>
  <si>
    <r>
      <t xml:space="preserve">   </t>
    </r>
    <r>
      <rPr>
        <sz val="10"/>
        <color indexed="8"/>
        <rFont val="標楷體"/>
        <family val="4"/>
      </rPr>
      <t>什項資產</t>
    </r>
  </si>
  <si>
    <r>
      <t xml:space="preserve">   </t>
    </r>
    <r>
      <rPr>
        <sz val="10"/>
        <color indexed="8"/>
        <rFont val="標楷體"/>
        <family val="4"/>
      </rPr>
      <t>遞延費用</t>
    </r>
  </si>
  <si>
    <r>
      <t xml:space="preserve">       </t>
    </r>
    <r>
      <rPr>
        <sz val="10"/>
        <color indexed="8"/>
        <rFont val="標楷體"/>
        <family val="4"/>
      </rPr>
      <t>負</t>
    </r>
    <r>
      <rPr>
        <sz val="10"/>
        <color indexed="8"/>
        <rFont val="Times New Roman"/>
        <family val="1"/>
      </rPr>
      <t xml:space="preserve">                </t>
    </r>
    <r>
      <rPr>
        <sz val="10"/>
        <color indexed="8"/>
        <rFont val="標楷體"/>
        <family val="4"/>
      </rPr>
      <t>債</t>
    </r>
  </si>
  <si>
    <r>
      <t xml:space="preserve"> </t>
    </r>
    <r>
      <rPr>
        <sz val="10"/>
        <color indexed="8"/>
        <rFont val="標楷體"/>
        <family val="4"/>
      </rPr>
      <t>流動負債</t>
    </r>
  </si>
  <si>
    <r>
      <t xml:space="preserve">   </t>
    </r>
    <r>
      <rPr>
        <sz val="10"/>
        <color indexed="8"/>
        <rFont val="標楷體"/>
        <family val="4"/>
      </rPr>
      <t>應付款項</t>
    </r>
  </si>
  <si>
    <r>
      <t xml:space="preserve">   </t>
    </r>
    <r>
      <rPr>
        <sz val="10"/>
        <color indexed="8"/>
        <rFont val="標楷體"/>
        <family val="4"/>
      </rPr>
      <t>預收款項</t>
    </r>
  </si>
  <si>
    <r>
      <t xml:space="preserve"> </t>
    </r>
    <r>
      <rPr>
        <sz val="10"/>
        <color indexed="8"/>
        <rFont val="標楷體"/>
        <family val="4"/>
      </rPr>
      <t>長期負債</t>
    </r>
  </si>
  <si>
    <r>
      <t xml:space="preserve">   </t>
    </r>
    <r>
      <rPr>
        <sz val="10"/>
        <color indexed="8"/>
        <rFont val="標楷體"/>
        <family val="4"/>
      </rPr>
      <t>長期債務</t>
    </r>
  </si>
  <si>
    <r>
      <t xml:space="preserve"> </t>
    </r>
    <r>
      <rPr>
        <sz val="10"/>
        <color indexed="8"/>
        <rFont val="標楷體"/>
        <family val="4"/>
      </rPr>
      <t>其他負債</t>
    </r>
  </si>
  <si>
    <r>
      <t xml:space="preserve">   </t>
    </r>
    <r>
      <rPr>
        <sz val="10"/>
        <color indexed="8"/>
        <rFont val="標楷體"/>
        <family val="4"/>
      </rPr>
      <t>什項負債</t>
    </r>
  </si>
  <si>
    <r>
      <t xml:space="preserve"> </t>
    </r>
    <r>
      <rPr>
        <sz val="10"/>
        <color indexed="8"/>
        <rFont val="標楷體"/>
        <family val="4"/>
      </rPr>
      <t>資本</t>
    </r>
  </si>
  <si>
    <r>
      <t xml:space="preserve">   </t>
    </r>
    <r>
      <rPr>
        <sz val="10"/>
        <color indexed="8"/>
        <rFont val="標楷體"/>
        <family val="4"/>
      </rPr>
      <t>資本</t>
    </r>
  </si>
  <si>
    <r>
      <t xml:space="preserve"> </t>
    </r>
    <r>
      <rPr>
        <sz val="10"/>
        <color indexed="8"/>
        <rFont val="標楷體"/>
        <family val="4"/>
      </rPr>
      <t>資本公積</t>
    </r>
  </si>
  <si>
    <r>
      <t xml:space="preserve">   </t>
    </r>
    <r>
      <rPr>
        <sz val="10"/>
        <color indexed="8"/>
        <rFont val="標楷體"/>
        <family val="4"/>
      </rPr>
      <t>資本公積</t>
    </r>
  </si>
  <si>
    <r>
      <t xml:space="preserve"> </t>
    </r>
    <r>
      <rPr>
        <sz val="10"/>
        <color indexed="8"/>
        <rFont val="標楷體"/>
        <family val="4"/>
      </rPr>
      <t>保留盈餘</t>
    </r>
    <r>
      <rPr>
        <sz val="10"/>
        <color indexed="8"/>
        <rFont val="Times New Roman"/>
        <family val="1"/>
      </rPr>
      <t>(-)</t>
    </r>
  </si>
  <si>
    <r>
      <t xml:space="preserve">   </t>
    </r>
    <r>
      <rPr>
        <sz val="10"/>
        <color indexed="8"/>
        <rFont val="標楷體"/>
        <family val="4"/>
      </rPr>
      <t>已指撥保留盈餘</t>
    </r>
  </si>
  <si>
    <r>
      <t xml:space="preserve">   </t>
    </r>
    <r>
      <rPr>
        <sz val="10"/>
        <color indexed="8"/>
        <rFont val="標楷體"/>
        <family val="4"/>
      </rPr>
      <t>未指撥保留盈餘</t>
    </r>
  </si>
  <si>
    <r>
      <t xml:space="preserve">   </t>
    </r>
    <r>
      <rPr>
        <sz val="10"/>
        <color indexed="8"/>
        <rFont val="標楷體"/>
        <family val="4"/>
      </rPr>
      <t>累積虧損</t>
    </r>
  </si>
  <si>
    <r>
      <t xml:space="preserve"> </t>
    </r>
    <r>
      <rPr>
        <sz val="12"/>
        <color indexed="8"/>
        <rFont val="標楷體"/>
        <family val="4"/>
      </rPr>
      <t>項</t>
    </r>
    <r>
      <rPr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標楷體"/>
        <family val="4"/>
      </rPr>
      <t>目</t>
    </r>
  </si>
  <si>
    <t xml:space="preserve">   中華民國106年度</t>
  </si>
  <si>
    <r>
      <t xml:space="preserve"> </t>
    </r>
    <r>
      <rPr>
        <sz val="12"/>
        <color indexed="8"/>
        <rFont val="標楷體"/>
        <family val="4"/>
      </rPr>
      <t>科</t>
    </r>
    <r>
      <rPr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標楷體"/>
        <family val="4"/>
      </rPr>
      <t>目</t>
    </r>
  </si>
  <si>
    <r>
      <t>純益</t>
    </r>
    <r>
      <rPr>
        <sz val="12"/>
        <color indexed="8"/>
        <rFont val="Arial Narrow"/>
        <family val="2"/>
      </rPr>
      <t>(</t>
    </r>
    <r>
      <rPr>
        <sz val="12"/>
        <color indexed="8"/>
        <rFont val="標楷體"/>
        <family val="4"/>
      </rPr>
      <t>純損</t>
    </r>
    <r>
      <rPr>
        <sz val="12"/>
        <color indexed="8"/>
        <rFont val="Arial Narrow"/>
        <family val="2"/>
      </rPr>
      <t>-)(</t>
    </r>
    <r>
      <rPr>
        <sz val="12"/>
        <color indexed="8"/>
        <rFont val="標楷體"/>
        <family val="4"/>
      </rPr>
      <t>稅後</t>
    </r>
    <r>
      <rPr>
        <sz val="12"/>
        <color indexed="8"/>
        <rFont val="Arial Narrow"/>
        <family val="2"/>
      </rPr>
      <t>)</t>
    </r>
  </si>
  <si>
    <r>
      <t>盈虧撥補</t>
    </r>
    <r>
      <rPr>
        <b/>
        <sz val="14"/>
        <color indexed="8"/>
        <rFont val="Arial Narrow"/>
        <family val="2"/>
      </rPr>
      <t>:</t>
    </r>
  </si>
  <si>
    <r>
      <t>現金流量</t>
    </r>
    <r>
      <rPr>
        <b/>
        <sz val="14"/>
        <color indexed="8"/>
        <rFont val="Arial Narrow"/>
        <family val="2"/>
      </rPr>
      <t>:</t>
    </r>
  </si>
  <si>
    <r>
      <t xml:space="preserve"> </t>
    </r>
    <r>
      <rPr>
        <sz val="12"/>
        <color indexed="8"/>
        <rFont val="標楷體"/>
        <family val="4"/>
      </rPr>
      <t>增加固定資產及遞耗資產</t>
    </r>
  </si>
  <si>
    <r>
      <t xml:space="preserve"> </t>
    </r>
    <r>
      <rPr>
        <sz val="12"/>
        <color indexed="8"/>
        <rFont val="標楷體"/>
        <family val="4"/>
      </rPr>
      <t>增加長期債務</t>
    </r>
  </si>
  <si>
    <r>
      <t xml:space="preserve"> </t>
    </r>
    <r>
      <rPr>
        <sz val="12"/>
        <color indexed="8"/>
        <rFont val="標楷體"/>
        <family val="4"/>
      </rPr>
      <t>現金及約當現金淨增</t>
    </r>
  </si>
  <si>
    <r>
      <t xml:space="preserve"> </t>
    </r>
    <r>
      <rPr>
        <sz val="12"/>
        <color indexed="8"/>
        <rFont val="標楷體"/>
        <family val="4"/>
      </rPr>
      <t>現金及約當現金淨減</t>
    </r>
  </si>
  <si>
    <r>
      <t>財務狀況</t>
    </r>
    <r>
      <rPr>
        <b/>
        <sz val="12"/>
        <color indexed="8"/>
        <rFont val="Arial Narrow"/>
        <family val="2"/>
      </rPr>
      <t>:</t>
    </r>
  </si>
  <si>
    <r>
      <t xml:space="preserve"> </t>
    </r>
    <r>
      <rPr>
        <sz val="12"/>
        <color indexed="8"/>
        <rFont val="標楷體"/>
        <family val="4"/>
      </rPr>
      <t>營運資金餘額</t>
    </r>
  </si>
  <si>
    <r>
      <t xml:space="preserve"> </t>
    </r>
    <r>
      <rPr>
        <sz val="12"/>
        <color indexed="8"/>
        <rFont val="標楷體"/>
        <family val="4"/>
      </rPr>
      <t>固定資產餘額</t>
    </r>
  </si>
  <si>
    <r>
      <t xml:space="preserve"> </t>
    </r>
    <r>
      <rPr>
        <sz val="12"/>
        <color indexed="8"/>
        <rFont val="標楷體"/>
        <family val="4"/>
      </rPr>
      <t>長期負債餘額</t>
    </r>
  </si>
  <si>
    <r>
      <t xml:space="preserve"> </t>
    </r>
    <r>
      <rPr>
        <sz val="12"/>
        <color indexed="8"/>
        <rFont val="標楷體"/>
        <family val="4"/>
      </rPr>
      <t>業主權益</t>
    </r>
  </si>
  <si>
    <r>
      <t xml:space="preserve">        </t>
    </r>
    <r>
      <rPr>
        <sz val="11"/>
        <color indexed="8"/>
        <rFont val="標楷體"/>
        <family val="4"/>
      </rPr>
      <t>中華民</t>
    </r>
    <r>
      <rPr>
        <sz val="11"/>
        <color indexed="8"/>
        <rFont val="Times New Roman"/>
        <family val="1"/>
      </rPr>
      <t xml:space="preserve">    </t>
    </r>
  </si>
  <si>
    <r>
      <t xml:space="preserve"> </t>
    </r>
    <r>
      <rPr>
        <b/>
        <sz val="12"/>
        <color indexed="8"/>
        <rFont val="標楷體"/>
        <family val="4"/>
      </rPr>
      <t>流動資產</t>
    </r>
  </si>
  <si>
    <r>
      <t xml:space="preserve">     </t>
    </r>
    <r>
      <rPr>
        <sz val="12"/>
        <color indexed="8"/>
        <rFont val="標楷體"/>
        <family val="4"/>
      </rPr>
      <t>現金</t>
    </r>
  </si>
  <si>
    <r>
      <t xml:space="preserve">     </t>
    </r>
    <r>
      <rPr>
        <sz val="12"/>
        <color indexed="8"/>
        <rFont val="標楷體"/>
        <family val="4"/>
      </rPr>
      <t>應收款項</t>
    </r>
  </si>
  <si>
    <r>
      <t xml:space="preserve">     </t>
    </r>
    <r>
      <rPr>
        <sz val="12"/>
        <color indexed="8"/>
        <rFont val="標楷體"/>
        <family val="4"/>
      </rPr>
      <t>存貨</t>
    </r>
  </si>
  <si>
    <r>
      <t xml:space="preserve">     </t>
    </r>
    <r>
      <rPr>
        <sz val="12"/>
        <color indexed="8"/>
        <rFont val="標楷體"/>
        <family val="4"/>
      </rPr>
      <t>預付款項</t>
    </r>
  </si>
  <si>
    <r>
      <t xml:space="preserve">     </t>
    </r>
    <r>
      <rPr>
        <sz val="12"/>
        <color indexed="8"/>
        <rFont val="標楷體"/>
        <family val="4"/>
      </rPr>
      <t>短期墊款</t>
    </r>
  </si>
  <si>
    <r>
      <t xml:space="preserve"> </t>
    </r>
    <r>
      <rPr>
        <b/>
        <sz val="10"/>
        <color indexed="8"/>
        <rFont val="標楷體"/>
        <family val="4"/>
      </rPr>
      <t>基金、投資及長期應收款</t>
    </r>
  </si>
  <si>
    <r>
      <t xml:space="preserve"> </t>
    </r>
    <r>
      <rPr>
        <b/>
        <sz val="12"/>
        <color indexed="8"/>
        <rFont val="標楷體"/>
        <family val="4"/>
      </rPr>
      <t>固定資產</t>
    </r>
  </si>
  <si>
    <r>
      <t xml:space="preserve">   </t>
    </r>
    <r>
      <rPr>
        <sz val="12"/>
        <color indexed="8"/>
        <rFont val="標楷體"/>
        <family val="4"/>
      </rPr>
      <t>土地</t>
    </r>
  </si>
  <si>
    <r>
      <t xml:space="preserve">   </t>
    </r>
    <r>
      <rPr>
        <sz val="12"/>
        <color indexed="8"/>
        <rFont val="標楷體"/>
        <family val="4"/>
      </rPr>
      <t>土地改良物</t>
    </r>
  </si>
  <si>
    <r>
      <t xml:space="preserve">   </t>
    </r>
    <r>
      <rPr>
        <sz val="12"/>
        <color indexed="8"/>
        <rFont val="標楷體"/>
        <family val="4"/>
      </rPr>
      <t>房屋及建築</t>
    </r>
  </si>
  <si>
    <r>
      <t xml:space="preserve">   </t>
    </r>
    <r>
      <rPr>
        <sz val="12"/>
        <color indexed="8"/>
        <rFont val="標楷體"/>
        <family val="4"/>
      </rPr>
      <t>機械及設備</t>
    </r>
  </si>
  <si>
    <r>
      <t xml:space="preserve">   </t>
    </r>
    <r>
      <rPr>
        <sz val="12"/>
        <color indexed="8"/>
        <rFont val="標楷體"/>
        <family val="4"/>
      </rPr>
      <t>交通及運輸設備</t>
    </r>
  </si>
  <si>
    <r>
      <t xml:space="preserve">   </t>
    </r>
    <r>
      <rPr>
        <sz val="12"/>
        <color indexed="8"/>
        <rFont val="標楷體"/>
        <family val="4"/>
      </rPr>
      <t>什項設備</t>
    </r>
  </si>
  <si>
    <r>
      <t xml:space="preserve">   </t>
    </r>
    <r>
      <rPr>
        <sz val="12"/>
        <color indexed="8"/>
        <rFont val="標楷體"/>
        <family val="4"/>
      </rPr>
      <t>購建中固定資產</t>
    </r>
  </si>
  <si>
    <r>
      <t xml:space="preserve"> </t>
    </r>
    <r>
      <rPr>
        <b/>
        <sz val="12"/>
        <color indexed="8"/>
        <rFont val="標楷體"/>
        <family val="4"/>
      </rPr>
      <t>無形資產</t>
    </r>
  </si>
  <si>
    <r>
      <t xml:space="preserve">   </t>
    </r>
    <r>
      <rPr>
        <sz val="12"/>
        <color indexed="8"/>
        <rFont val="標楷體"/>
        <family val="4"/>
      </rPr>
      <t>無形資產</t>
    </r>
  </si>
  <si>
    <r>
      <t xml:space="preserve"> </t>
    </r>
    <r>
      <rPr>
        <b/>
        <sz val="12"/>
        <color indexed="8"/>
        <rFont val="標楷體"/>
        <family val="4"/>
      </rPr>
      <t>其他資產</t>
    </r>
  </si>
  <si>
    <r>
      <t xml:space="preserve">   </t>
    </r>
    <r>
      <rPr>
        <sz val="12"/>
        <color indexed="8"/>
        <rFont val="標楷體"/>
        <family val="4"/>
      </rPr>
      <t>非營業資產</t>
    </r>
  </si>
  <si>
    <r>
      <t xml:space="preserve">   </t>
    </r>
    <r>
      <rPr>
        <sz val="12"/>
        <color indexed="8"/>
        <rFont val="標楷體"/>
        <family val="4"/>
      </rPr>
      <t>什項資產</t>
    </r>
  </si>
  <si>
    <r>
      <t xml:space="preserve">   </t>
    </r>
    <r>
      <rPr>
        <sz val="12"/>
        <color indexed="8"/>
        <rFont val="標楷體"/>
        <family val="4"/>
      </rPr>
      <t>遞延資產</t>
    </r>
  </si>
  <si>
    <r>
      <t xml:space="preserve"> </t>
    </r>
    <r>
      <rPr>
        <b/>
        <sz val="15"/>
        <color indexed="8"/>
        <rFont val="標楷體"/>
        <family val="4"/>
      </rPr>
      <t>資</t>
    </r>
    <r>
      <rPr>
        <b/>
        <sz val="15"/>
        <color indexed="8"/>
        <rFont val="Times New Roman"/>
        <family val="1"/>
      </rPr>
      <t xml:space="preserve">  </t>
    </r>
    <r>
      <rPr>
        <b/>
        <sz val="15"/>
        <color indexed="8"/>
        <rFont val="標楷體"/>
        <family val="4"/>
      </rPr>
      <t>產</t>
    </r>
    <r>
      <rPr>
        <b/>
        <sz val="15"/>
        <color indexed="8"/>
        <rFont val="Times New Roman"/>
        <family val="1"/>
      </rPr>
      <t xml:space="preserve">  </t>
    </r>
    <r>
      <rPr>
        <b/>
        <sz val="15"/>
        <color indexed="8"/>
        <rFont val="標楷體"/>
        <family val="4"/>
      </rPr>
      <t>總</t>
    </r>
    <r>
      <rPr>
        <b/>
        <sz val="15"/>
        <color indexed="8"/>
        <rFont val="Times New Roman"/>
        <family val="1"/>
      </rPr>
      <t xml:space="preserve">  </t>
    </r>
    <r>
      <rPr>
        <b/>
        <sz val="15"/>
        <color indexed="8"/>
        <rFont val="標楷體"/>
        <family val="4"/>
      </rPr>
      <t>額</t>
    </r>
  </si>
  <si>
    <r>
      <t xml:space="preserve">       </t>
    </r>
    <r>
      <rPr>
        <b/>
        <sz val="13"/>
        <color indexed="8"/>
        <rFont val="標楷體"/>
        <family val="4"/>
      </rPr>
      <t>負</t>
    </r>
    <r>
      <rPr>
        <b/>
        <sz val="13"/>
        <color indexed="8"/>
        <rFont val="Times New Roman"/>
        <family val="1"/>
      </rPr>
      <t xml:space="preserve">                </t>
    </r>
    <r>
      <rPr>
        <b/>
        <sz val="13"/>
        <color indexed="8"/>
        <rFont val="標楷體"/>
        <family val="4"/>
      </rPr>
      <t>債</t>
    </r>
  </si>
  <si>
    <r>
      <t xml:space="preserve"> </t>
    </r>
    <r>
      <rPr>
        <b/>
        <sz val="12"/>
        <color indexed="8"/>
        <rFont val="標楷體"/>
        <family val="4"/>
      </rPr>
      <t>流動負債</t>
    </r>
  </si>
  <si>
    <r>
      <t xml:space="preserve">   </t>
    </r>
    <r>
      <rPr>
        <sz val="12"/>
        <color indexed="8"/>
        <rFont val="標楷體"/>
        <family val="4"/>
      </rPr>
      <t>應付款項</t>
    </r>
  </si>
  <si>
    <r>
      <t xml:space="preserve">   </t>
    </r>
    <r>
      <rPr>
        <sz val="12"/>
        <color indexed="8"/>
        <rFont val="標楷體"/>
        <family val="4"/>
      </rPr>
      <t>預收款項</t>
    </r>
  </si>
  <si>
    <r>
      <t xml:space="preserve">   </t>
    </r>
    <r>
      <rPr>
        <sz val="12"/>
        <color indexed="8"/>
        <rFont val="標楷體"/>
        <family val="4"/>
      </rPr>
      <t>其他流動負債</t>
    </r>
  </si>
  <si>
    <r>
      <t xml:space="preserve"> </t>
    </r>
    <r>
      <rPr>
        <b/>
        <sz val="12"/>
        <color indexed="8"/>
        <rFont val="標楷體"/>
        <family val="4"/>
      </rPr>
      <t>長期負債</t>
    </r>
  </si>
  <si>
    <r>
      <t xml:space="preserve">   </t>
    </r>
    <r>
      <rPr>
        <sz val="12"/>
        <color indexed="8"/>
        <rFont val="標楷體"/>
        <family val="4"/>
      </rPr>
      <t>長期債務</t>
    </r>
  </si>
  <si>
    <r>
      <t xml:space="preserve"> </t>
    </r>
    <r>
      <rPr>
        <b/>
        <sz val="12"/>
        <color indexed="8"/>
        <rFont val="標楷體"/>
        <family val="4"/>
      </rPr>
      <t>其他負債</t>
    </r>
  </si>
  <si>
    <r>
      <t xml:space="preserve">   </t>
    </r>
    <r>
      <rPr>
        <sz val="12"/>
        <color indexed="8"/>
        <rFont val="標楷體"/>
        <family val="4"/>
      </rPr>
      <t>營業及負債準備</t>
    </r>
  </si>
  <si>
    <r>
      <t xml:space="preserve">   </t>
    </r>
    <r>
      <rPr>
        <sz val="12"/>
        <color indexed="8"/>
        <rFont val="標楷體"/>
        <family val="4"/>
      </rPr>
      <t>什項負債</t>
    </r>
  </si>
  <si>
    <r>
      <t xml:space="preserve">   </t>
    </r>
    <r>
      <rPr>
        <sz val="12"/>
        <color indexed="8"/>
        <rFont val="標楷體"/>
        <family val="4"/>
      </rPr>
      <t>遞延負債</t>
    </r>
  </si>
  <si>
    <r>
      <t xml:space="preserve"> </t>
    </r>
    <r>
      <rPr>
        <b/>
        <sz val="12"/>
        <color indexed="8"/>
        <rFont val="標楷體"/>
        <family val="4"/>
      </rPr>
      <t>資本</t>
    </r>
  </si>
  <si>
    <r>
      <t xml:space="preserve">   </t>
    </r>
    <r>
      <rPr>
        <sz val="12"/>
        <color indexed="8"/>
        <rFont val="標楷體"/>
        <family val="4"/>
      </rPr>
      <t>資本</t>
    </r>
  </si>
  <si>
    <r>
      <t xml:space="preserve"> </t>
    </r>
    <r>
      <rPr>
        <b/>
        <sz val="12"/>
        <color indexed="8"/>
        <rFont val="標楷體"/>
        <family val="4"/>
      </rPr>
      <t>資本公積</t>
    </r>
  </si>
  <si>
    <r>
      <t xml:space="preserve">   </t>
    </r>
    <r>
      <rPr>
        <sz val="12"/>
        <color indexed="8"/>
        <rFont val="標楷體"/>
        <family val="4"/>
      </rPr>
      <t>資本公積</t>
    </r>
  </si>
  <si>
    <r>
      <t xml:space="preserve"> </t>
    </r>
    <r>
      <rPr>
        <b/>
        <sz val="12"/>
        <color indexed="8"/>
        <rFont val="標楷體"/>
        <family val="4"/>
      </rPr>
      <t>保留盈餘</t>
    </r>
    <r>
      <rPr>
        <b/>
        <sz val="12"/>
        <color indexed="8"/>
        <rFont val="Times New Roman"/>
        <family val="1"/>
      </rPr>
      <t>(-)</t>
    </r>
  </si>
  <si>
    <r>
      <t xml:space="preserve">   </t>
    </r>
    <r>
      <rPr>
        <sz val="12"/>
        <color indexed="8"/>
        <rFont val="標楷體"/>
        <family val="4"/>
      </rPr>
      <t>已指撥保留盈餘</t>
    </r>
  </si>
  <si>
    <r>
      <t xml:space="preserve">   </t>
    </r>
    <r>
      <rPr>
        <sz val="12"/>
        <color indexed="8"/>
        <rFont val="標楷體"/>
        <family val="4"/>
      </rPr>
      <t>未指撥保留盈餘</t>
    </r>
  </si>
  <si>
    <r>
      <t xml:space="preserve">   </t>
    </r>
    <r>
      <rPr>
        <sz val="12"/>
        <color indexed="8"/>
        <rFont val="標楷體"/>
        <family val="4"/>
      </rPr>
      <t>累積虧損</t>
    </r>
  </si>
  <si>
    <r>
      <t xml:space="preserve">   </t>
    </r>
    <r>
      <rPr>
        <sz val="12"/>
        <color indexed="8"/>
        <rFont val="標楷體"/>
        <family val="4"/>
      </rPr>
      <t>累積換算調整數</t>
    </r>
  </si>
  <si>
    <r>
      <t xml:space="preserve">  </t>
    </r>
    <r>
      <rPr>
        <sz val="12"/>
        <color indexed="8"/>
        <rFont val="標楷體"/>
        <family val="4"/>
      </rPr>
      <t>未實現重估增值</t>
    </r>
  </si>
  <si>
    <r>
      <t xml:space="preserve">比較增減
</t>
    </r>
    <r>
      <rPr>
        <sz val="8"/>
        <color indexed="8"/>
        <rFont val="標楷體"/>
        <family val="4"/>
      </rPr>
      <t>（-）</t>
    </r>
  </si>
  <si>
    <t xml:space="preserve">                                         中華民國106年度</t>
  </si>
  <si>
    <t>日報社</t>
  </si>
  <si>
    <t>輪渡</t>
  </si>
  <si>
    <t>平均數</t>
  </si>
  <si>
    <t>金門縣浯江輪渡有限公司</t>
  </si>
  <si>
    <t>金門縣公共車船管理處</t>
  </si>
  <si>
    <t>註：信託代理與保證資產(負債)計1,008,823,125元，包括金門酒廠實業股份有限公司936,336,995元、金門縣陶瓷廠1,480,000元、金門縣日報社150,000元、金門縣公共車船管理處240,000元、金門縣浯江輪渡有限公司670,000元及金門縣自來水廠69,946,130元</t>
  </si>
  <si>
    <t>金門縣浯江輪渡有限公司</t>
  </si>
  <si>
    <t>-</t>
  </si>
  <si>
    <r>
      <t xml:space="preserve">     </t>
    </r>
    <r>
      <rPr>
        <sz val="10"/>
        <color indexed="8"/>
        <rFont val="標楷體"/>
        <family val="4"/>
      </rPr>
      <t>預付款項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</si>
</sst>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.00_);[Red]\(#,##0.00\)"/>
    <numFmt numFmtId="179" formatCode="#,##0.00_ ;[Red]\-#,##0.00\ "/>
    <numFmt numFmtId="180" formatCode="#,##0_ "/>
    <numFmt numFmtId="181" formatCode="#,##0_ ;[Red]\-#,##0\ "/>
    <numFmt numFmtId="182" formatCode="#,##0.000_ ;[Red]\-#,##0.000\ "/>
    <numFmt numFmtId="183" formatCode="m&quot;月&quot;d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  <numFmt numFmtId="188" formatCode="#,##0.0_ "/>
    <numFmt numFmtId="189" formatCode="#,##0.0000_ "/>
    <numFmt numFmtId="190" formatCode="0.0000_);[Red]\(0.0000\)"/>
    <numFmt numFmtId="191" formatCode="0.0000_ "/>
    <numFmt numFmtId="192" formatCode="_-* #,##0_-;\-* #,##0_-;_-* &quot;-&quot;??_-;_-@_-"/>
    <numFmt numFmtId="193" formatCode="_-* #,##0.0_-;\-* #,##0.0_-;_-* &quot;-&quot;??_-;_-@_-"/>
    <numFmt numFmtId="194" formatCode="0.00_);[Red]\(0.00\)"/>
    <numFmt numFmtId="195" formatCode="0_);[Red]\(0\)"/>
    <numFmt numFmtId="196" formatCode="0_ "/>
    <numFmt numFmtId="197" formatCode="#,##0_);[Red]\(#,##0\)"/>
    <numFmt numFmtId="198" formatCode="#,##0_);\(#,##0\)"/>
    <numFmt numFmtId="199" formatCode="#,##0.0"/>
    <numFmt numFmtId="200" formatCode="0.0_ "/>
    <numFmt numFmtId="201" formatCode="#,##0.000_ "/>
    <numFmt numFmtId="202" formatCode="#,##0.00000_ "/>
    <numFmt numFmtId="203" formatCode="#,##0.000000_ "/>
    <numFmt numFmtId="204" formatCode="#,##0.0_);\(#,##0.0\)"/>
    <numFmt numFmtId="205" formatCode="#,##0.00_);\(#,##0.00\)"/>
    <numFmt numFmtId="206" formatCode="#,##0.000"/>
    <numFmt numFmtId="207" formatCode="#,##0.0_);[Red]\(#,##0.0\)"/>
    <numFmt numFmtId="208" formatCode="0.000_ "/>
    <numFmt numFmtId="209" formatCode="_-* #,##0.0000_-;\-* #,##0.0000_-;_-* &quot;-&quot;??_-;_-@_-"/>
    <numFmt numFmtId="210" formatCode="_-* #,##0.000_-;\-* #,##0.000_-;_-* &quot;-&quot;??_-;_-@_-"/>
    <numFmt numFmtId="211" formatCode="0.0%"/>
    <numFmt numFmtId="212" formatCode="_-* #,##0.00000_-;\-* #,##0.00000_-;_-* &quot;-&quot;??_-;_-@_-"/>
    <numFmt numFmtId="213" formatCode="_-* #,##0.0_-;\-* #,##0.0_-;_-* &quot;-&quot;_-;_-@_-"/>
    <numFmt numFmtId="214" formatCode="_-* #,##0.00_-;\-* #,##0.00_-;_-* &quot;-&quot;_-;_-@_-"/>
    <numFmt numFmtId="215" formatCode="_-* #,##0.0000_-;\-* #,##0.0000_-;_-* &quot;-&quot;????_-;_-@_-"/>
    <numFmt numFmtId="216" formatCode="_-* #,##0.000_-;\-* #,##0.000_-;_-* &quot;-&quot;???_-;_-@_-"/>
    <numFmt numFmtId="217" formatCode="[$€-2]\ #,##0.00_);[Red]\([$€-2]\ #,##0.00\)"/>
  </numFmts>
  <fonts count="197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Courier"/>
      <family val="3"/>
    </font>
    <font>
      <sz val="11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Arial Narrow"/>
      <family val="2"/>
    </font>
    <font>
      <b/>
      <u val="single"/>
      <sz val="24"/>
      <name val="Times New Roman"/>
      <family val="1"/>
    </font>
    <font>
      <b/>
      <sz val="14"/>
      <name val="標楷體"/>
      <family val="4"/>
    </font>
    <font>
      <sz val="11"/>
      <name val="Arial Narrow"/>
      <family val="2"/>
    </font>
    <font>
      <b/>
      <sz val="12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72"/>
      <name val="標楷體"/>
      <family val="4"/>
    </font>
    <font>
      <b/>
      <sz val="72"/>
      <name val="標楷體"/>
      <family val="4"/>
    </font>
    <font>
      <b/>
      <sz val="60"/>
      <name val="標楷體"/>
      <family val="4"/>
    </font>
    <font>
      <u val="single"/>
      <sz val="12"/>
      <name val="標楷體"/>
      <family val="4"/>
    </font>
    <font>
      <u val="single"/>
      <sz val="24"/>
      <name val="標楷體"/>
      <family val="4"/>
    </font>
    <font>
      <u val="single"/>
      <sz val="11"/>
      <name val="標楷體"/>
      <family val="4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b/>
      <sz val="5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u val="single"/>
      <sz val="16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標楷體"/>
      <family val="4"/>
    </font>
    <font>
      <b/>
      <sz val="14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標楷體"/>
      <family val="4"/>
    </font>
    <font>
      <b/>
      <sz val="15"/>
      <color indexed="8"/>
      <name val="Times New Roman"/>
      <family val="1"/>
    </font>
    <font>
      <b/>
      <sz val="15"/>
      <color indexed="8"/>
      <name val="標楷體"/>
      <family val="4"/>
    </font>
    <font>
      <b/>
      <sz val="13"/>
      <color indexed="8"/>
      <name val="Times New Roman"/>
      <family val="1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8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53"/>
      <name val="新細明體"/>
      <family val="1"/>
    </font>
    <font>
      <sz val="12"/>
      <color indexed="49"/>
      <name val="標楷體"/>
      <family val="4"/>
    </font>
    <font>
      <sz val="8"/>
      <color indexed="53"/>
      <name val="Arial Narrow"/>
      <family val="2"/>
    </font>
    <font>
      <sz val="8"/>
      <color indexed="49"/>
      <name val="Arial Narrow"/>
      <family val="2"/>
    </font>
    <font>
      <sz val="10"/>
      <color indexed="4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標楷體"/>
      <family val="4"/>
    </font>
    <font>
      <sz val="7"/>
      <color indexed="8"/>
      <name val="標楷體"/>
      <family val="4"/>
    </font>
    <font>
      <b/>
      <u val="single"/>
      <sz val="18"/>
      <color indexed="8"/>
      <name val="標楷體"/>
      <family val="4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u val="single"/>
      <sz val="16"/>
      <color indexed="8"/>
      <name val="標楷體"/>
      <family val="4"/>
    </font>
    <font>
      <b/>
      <sz val="14"/>
      <color indexed="8"/>
      <name val="標楷體"/>
      <family val="4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3"/>
      <color indexed="8"/>
      <name val="Arial Narrow"/>
      <family val="2"/>
    </font>
    <font>
      <u val="single"/>
      <sz val="14"/>
      <color indexed="8"/>
      <name val="標楷體"/>
      <family val="4"/>
    </font>
    <font>
      <sz val="16"/>
      <color indexed="8"/>
      <name val="新細明體"/>
      <family val="1"/>
    </font>
    <font>
      <sz val="26"/>
      <color indexed="8"/>
      <name val="標楷體"/>
      <family val="4"/>
    </font>
    <font>
      <sz val="26"/>
      <color indexed="8"/>
      <name val="新細明體"/>
      <family val="1"/>
    </font>
    <font>
      <u val="single"/>
      <sz val="18"/>
      <color indexed="8"/>
      <name val="標楷體"/>
      <family val="4"/>
    </font>
    <font>
      <b/>
      <sz val="9"/>
      <color indexed="8"/>
      <name val="標楷體"/>
      <family val="4"/>
    </font>
    <font>
      <b/>
      <sz val="18"/>
      <color indexed="8"/>
      <name val="標楷體"/>
      <family val="4"/>
    </font>
    <font>
      <b/>
      <sz val="8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Times New Roman"/>
      <family val="1"/>
    </font>
    <font>
      <b/>
      <u val="single"/>
      <sz val="16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Arial Narrow"/>
      <family val="2"/>
    </font>
    <font>
      <u val="single"/>
      <sz val="20"/>
      <color indexed="8"/>
      <name val="標楷體"/>
      <family val="4"/>
    </font>
    <font>
      <sz val="6.5"/>
      <color indexed="8"/>
      <name val="標楷體"/>
      <family val="4"/>
    </font>
    <font>
      <sz val="6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8"/>
      <color rgb="FFFF0000"/>
      <name val="Arial Narrow"/>
      <family val="2"/>
    </font>
    <font>
      <sz val="12"/>
      <color theme="1"/>
      <name val="標楷體"/>
      <family val="4"/>
    </font>
    <font>
      <sz val="10"/>
      <color theme="1"/>
      <name val="Arial Narrow"/>
      <family val="2"/>
    </font>
    <font>
      <sz val="11"/>
      <color theme="1"/>
      <name val="標楷體"/>
      <family val="4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2"/>
      <color theme="5"/>
      <name val="新細明體"/>
      <family val="1"/>
    </font>
    <font>
      <sz val="12"/>
      <color theme="4"/>
      <name val="標楷體"/>
      <family val="4"/>
    </font>
    <font>
      <sz val="8"/>
      <color theme="5"/>
      <name val="Arial Narrow"/>
      <family val="2"/>
    </font>
    <font>
      <sz val="8"/>
      <color theme="4"/>
      <name val="Arial Narrow"/>
      <family val="2"/>
    </font>
    <font>
      <sz val="10"/>
      <color theme="4"/>
      <name val="Arial Narrow"/>
      <family val="2"/>
    </font>
    <font>
      <sz val="10"/>
      <color theme="1"/>
      <name val="標楷體"/>
      <family val="4"/>
    </font>
    <font>
      <sz val="8"/>
      <color theme="1"/>
      <name val="Arial Narrow"/>
      <family val="2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b/>
      <sz val="8"/>
      <color theme="1"/>
      <name val="Arial Narrow"/>
      <family val="2"/>
    </font>
    <font>
      <sz val="10"/>
      <color theme="1"/>
      <name val="Times New Roman"/>
      <family val="1"/>
    </font>
    <font>
      <sz val="9"/>
      <color theme="1"/>
      <name val="標楷體"/>
      <family val="4"/>
    </font>
    <font>
      <sz val="7"/>
      <color theme="1"/>
      <name val="標楷體"/>
      <family val="4"/>
    </font>
    <font>
      <b/>
      <u val="single"/>
      <sz val="18"/>
      <color theme="1"/>
      <name val="標楷體"/>
      <family val="4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新細明體"/>
      <family val="1"/>
    </font>
    <font>
      <sz val="14"/>
      <color theme="1"/>
      <name val="標楷體"/>
      <family val="4"/>
    </font>
    <font>
      <sz val="14"/>
      <color theme="1"/>
      <name val="新細明體"/>
      <family val="1"/>
    </font>
    <font>
      <b/>
      <sz val="16"/>
      <color theme="1"/>
      <name val="標楷體"/>
      <family val="4"/>
    </font>
    <font>
      <sz val="16"/>
      <color theme="1"/>
      <name val="標楷體"/>
      <family val="4"/>
    </font>
    <font>
      <u val="single"/>
      <sz val="16"/>
      <color theme="1"/>
      <name val="標楷體"/>
      <family val="4"/>
    </font>
    <font>
      <b/>
      <sz val="12"/>
      <color theme="1"/>
      <name val="Arial Narrow"/>
      <family val="2"/>
    </font>
    <font>
      <b/>
      <sz val="14"/>
      <color theme="1"/>
      <name val="標楷體"/>
      <family val="4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3"/>
      <color theme="1"/>
      <name val="標楷體"/>
      <family val="4"/>
    </font>
    <font>
      <b/>
      <sz val="13"/>
      <color theme="1"/>
      <name val="Arial Narrow"/>
      <family val="2"/>
    </font>
    <font>
      <u val="single"/>
      <sz val="14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新細明體"/>
      <family val="1"/>
    </font>
    <font>
      <sz val="26"/>
      <color theme="1"/>
      <name val="標楷體"/>
      <family val="4"/>
    </font>
    <font>
      <sz val="26"/>
      <color theme="1"/>
      <name val="新細明體"/>
      <family val="1"/>
    </font>
    <font>
      <u val="single"/>
      <sz val="18"/>
      <color theme="1"/>
      <name val="標楷體"/>
      <family val="4"/>
    </font>
    <font>
      <sz val="11"/>
      <color theme="1"/>
      <name val="Times New Roman"/>
      <family val="1"/>
    </font>
    <font>
      <b/>
      <sz val="9"/>
      <color theme="1"/>
      <name val="標楷體"/>
      <family val="4"/>
    </font>
    <font>
      <b/>
      <sz val="18"/>
      <color theme="1"/>
      <name val="標楷體"/>
      <family val="4"/>
    </font>
    <font>
      <b/>
      <sz val="8"/>
      <color theme="1"/>
      <name val="標楷體"/>
      <family val="4"/>
    </font>
    <font>
      <b/>
      <sz val="11"/>
      <color theme="1"/>
      <name val="標楷體"/>
      <family val="4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6"/>
      <color theme="1"/>
      <name val="標楷體"/>
      <family val="4"/>
    </font>
    <font>
      <b/>
      <sz val="10"/>
      <color theme="1"/>
      <name val="標楷體"/>
      <family val="4"/>
    </font>
    <font>
      <sz val="8"/>
      <color theme="1"/>
      <name val="新細明體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b/>
      <sz val="10"/>
      <color theme="1"/>
      <name val="Arial Narrow"/>
      <family val="2"/>
    </font>
    <font>
      <u val="single"/>
      <sz val="20"/>
      <color theme="1"/>
      <name val="標楷體"/>
      <family val="4"/>
    </font>
    <font>
      <sz val="6.5"/>
      <color theme="1"/>
      <name val="標楷體"/>
      <family val="4"/>
    </font>
    <font>
      <sz val="6"/>
      <color theme="1"/>
      <name val="標楷體"/>
      <family val="4"/>
    </font>
    <font>
      <b/>
      <sz val="14"/>
      <color theme="1"/>
      <name val="Arial Narrow"/>
      <family val="2"/>
    </font>
    <font>
      <sz val="12"/>
      <color rgb="FFFF0000"/>
      <name val="新細明體"/>
      <family val="1"/>
    </font>
    <font>
      <u val="single"/>
      <sz val="12"/>
      <color theme="1"/>
      <name val="標楷體"/>
      <family val="4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37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0" borderId="1" applyNumberFormat="0" applyFill="0" applyAlignment="0" applyProtection="0"/>
    <xf numFmtId="0" fontId="1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30" borderId="2" applyNumberFormat="0" applyAlignment="0" applyProtection="0"/>
    <xf numFmtId="0" fontId="128" fillId="22" borderId="8" applyNumberFormat="0" applyAlignment="0" applyProtection="0"/>
    <xf numFmtId="0" fontId="129" fillId="31" borderId="9" applyNumberFormat="0" applyAlignment="0" applyProtection="0"/>
    <xf numFmtId="0" fontId="130" fillId="32" borderId="0" applyNumberFormat="0" applyBorder="0" applyAlignment="0" applyProtection="0"/>
    <xf numFmtId="0" fontId="131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0" fontId="3" fillId="0" borderId="0" xfId="0" applyFont="1" applyAlignment="1">
      <alignment/>
    </xf>
    <xf numFmtId="37" fontId="6" fillId="0" borderId="0" xfId="33">
      <alignment/>
      <protection/>
    </xf>
    <xf numFmtId="37" fontId="3" fillId="0" borderId="0" xfId="33" applyFont="1">
      <alignment/>
      <protection/>
    </xf>
    <xf numFmtId="37" fontId="2" fillId="0" borderId="0" xfId="33" applyFont="1">
      <alignment/>
      <protection/>
    </xf>
    <xf numFmtId="2" fontId="3" fillId="0" borderId="0" xfId="33" applyNumberFormat="1" applyFont="1" applyProtection="1">
      <alignment/>
      <protection/>
    </xf>
    <xf numFmtId="37" fontId="3" fillId="0" borderId="0" xfId="33" applyFont="1" applyAlignme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6" fontId="27" fillId="0" borderId="0" xfId="0" applyNumberFormat="1" applyFont="1" applyAlignment="1">
      <alignment/>
    </xf>
    <xf numFmtId="176" fontId="10" fillId="0" borderId="13" xfId="0" applyNumberFormat="1" applyFont="1" applyBorder="1" applyAlignment="1">
      <alignment/>
    </xf>
    <xf numFmtId="191" fontId="13" fillId="0" borderId="10" xfId="0" applyNumberFormat="1" applyFont="1" applyBorder="1" applyAlignment="1">
      <alignment/>
    </xf>
    <xf numFmtId="0" fontId="30" fillId="0" borderId="0" xfId="0" applyFont="1" applyAlignment="1">
      <alignment horizontal="centerContinuous" vertical="center"/>
    </xf>
    <xf numFmtId="180" fontId="2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180" fontId="28" fillId="0" borderId="0" xfId="0" applyNumberFormat="1" applyFont="1" applyAlignment="1">
      <alignment/>
    </xf>
    <xf numFmtId="0" fontId="1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25" fillId="0" borderId="10" xfId="0" applyNumberFormat="1" applyFont="1" applyBorder="1" applyAlignment="1">
      <alignment vertical="center"/>
    </xf>
    <xf numFmtId="177" fontId="29" fillId="0" borderId="10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43" fontId="0" fillId="0" borderId="0" xfId="34" applyFont="1" applyAlignment="1">
      <alignment vertical="center"/>
    </xf>
    <xf numFmtId="177" fontId="29" fillId="0" borderId="11" xfId="0" applyNumberFormat="1" applyFont="1" applyBorder="1" applyAlignment="1">
      <alignment vertical="center"/>
    </xf>
    <xf numFmtId="209" fontId="25" fillId="0" borderId="10" xfId="0" applyNumberFormat="1" applyFont="1" applyBorder="1" applyAlignment="1">
      <alignment vertical="center"/>
    </xf>
    <xf numFmtId="209" fontId="29" fillId="0" borderId="10" xfId="0" applyNumberFormat="1" applyFont="1" applyBorder="1" applyAlignment="1">
      <alignment vertical="center"/>
    </xf>
    <xf numFmtId="0" fontId="132" fillId="33" borderId="0" xfId="0" applyFont="1" applyFill="1" applyAlignment="1">
      <alignment/>
    </xf>
    <xf numFmtId="180" fontId="133" fillId="0" borderId="0" xfId="0" applyNumberFormat="1" applyFont="1" applyAlignment="1">
      <alignment/>
    </xf>
    <xf numFmtId="0" fontId="134" fillId="0" borderId="0" xfId="0" applyFont="1" applyAlignment="1">
      <alignment/>
    </xf>
    <xf numFmtId="0" fontId="132" fillId="0" borderId="0" xfId="0" applyFont="1" applyAlignment="1">
      <alignment/>
    </xf>
    <xf numFmtId="176" fontId="135" fillId="0" borderId="0" xfId="0" applyNumberFormat="1" applyFont="1" applyAlignment="1">
      <alignment/>
    </xf>
    <xf numFmtId="188" fontId="135" fillId="0" borderId="0" xfId="0" applyNumberFormat="1" applyFont="1" applyAlignment="1">
      <alignment/>
    </xf>
    <xf numFmtId="0" fontId="134" fillId="0" borderId="0" xfId="0" applyFont="1" applyBorder="1" applyAlignment="1">
      <alignment horizontal="center" vertical="center" wrapText="1"/>
    </xf>
    <xf numFmtId="0" fontId="136" fillId="0" borderId="0" xfId="0" applyFont="1" applyBorder="1" applyAlignment="1">
      <alignment horizontal="justify" wrapText="1"/>
    </xf>
    <xf numFmtId="180" fontId="137" fillId="0" borderId="0" xfId="0" applyNumberFormat="1" applyFont="1" applyAlignment="1">
      <alignment/>
    </xf>
    <xf numFmtId="0" fontId="132" fillId="0" borderId="10" xfId="0" applyFont="1" applyBorder="1" applyAlignment="1">
      <alignment/>
    </xf>
    <xf numFmtId="176" fontId="138" fillId="0" borderId="0" xfId="0" applyNumberFormat="1" applyFont="1" applyAlignment="1">
      <alignment/>
    </xf>
    <xf numFmtId="176" fontId="138" fillId="34" borderId="0" xfId="0" applyNumberFormat="1" applyFont="1" applyFill="1" applyAlignment="1">
      <alignment/>
    </xf>
    <xf numFmtId="176" fontId="138" fillId="35" borderId="0" xfId="0" applyNumberFormat="1" applyFont="1" applyFill="1" applyAlignment="1">
      <alignment/>
    </xf>
    <xf numFmtId="0" fontId="132" fillId="0" borderId="0" xfId="0" applyFont="1" applyBorder="1" applyAlignment="1">
      <alignment horizontal="center" vertical="center" wrapText="1"/>
    </xf>
    <xf numFmtId="180" fontId="138" fillId="0" borderId="0" xfId="0" applyNumberFormat="1" applyFont="1" applyAlignment="1">
      <alignment/>
    </xf>
    <xf numFmtId="180" fontId="133" fillId="35" borderId="0" xfId="0" applyNumberFormat="1" applyFont="1" applyFill="1" applyBorder="1" applyAlignment="1">
      <alignment/>
    </xf>
    <xf numFmtId="180" fontId="133" fillId="0" borderId="0" xfId="0" applyNumberFormat="1" applyFont="1" applyBorder="1" applyAlignment="1">
      <alignment/>
    </xf>
    <xf numFmtId="176" fontId="139" fillId="0" borderId="13" xfId="0" applyNumberFormat="1" applyFont="1" applyBorder="1" applyAlignment="1">
      <alignment/>
    </xf>
    <xf numFmtId="0" fontId="140" fillId="0" borderId="0" xfId="0" applyFont="1" applyAlignment="1">
      <alignment vertical="center"/>
    </xf>
    <xf numFmtId="0" fontId="141" fillId="0" borderId="0" xfId="0" applyFont="1" applyAlignment="1">
      <alignment/>
    </xf>
    <xf numFmtId="180" fontId="142" fillId="0" borderId="0" xfId="0" applyNumberFormat="1" applyFont="1" applyAlignment="1">
      <alignment/>
    </xf>
    <xf numFmtId="180" fontId="143" fillId="0" borderId="0" xfId="0" applyNumberFormat="1" applyFont="1" applyAlignment="1">
      <alignment/>
    </xf>
    <xf numFmtId="180" fontId="143" fillId="0" borderId="0" xfId="0" applyNumberFormat="1" applyFont="1" applyBorder="1" applyAlignment="1">
      <alignment/>
    </xf>
    <xf numFmtId="180" fontId="144" fillId="0" borderId="0" xfId="0" applyNumberFormat="1" applyFont="1" applyAlignment="1">
      <alignment/>
    </xf>
    <xf numFmtId="0" fontId="141" fillId="33" borderId="0" xfId="0" applyFont="1" applyFill="1" applyAlignment="1">
      <alignment/>
    </xf>
    <xf numFmtId="176" fontId="144" fillId="0" borderId="0" xfId="0" applyNumberFormat="1" applyFont="1" applyAlignment="1">
      <alignment/>
    </xf>
    <xf numFmtId="43" fontId="144" fillId="0" borderId="0" xfId="34" applyFont="1" applyAlignment="1">
      <alignment/>
    </xf>
    <xf numFmtId="176" fontId="144" fillId="34" borderId="0" xfId="0" applyNumberFormat="1" applyFont="1" applyFill="1" applyAlignment="1">
      <alignment/>
    </xf>
    <xf numFmtId="188" fontId="144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34" fillId="0" borderId="0" xfId="0" applyFont="1" applyAlignment="1">
      <alignment horizontal="left" indent="9"/>
    </xf>
    <xf numFmtId="0" fontId="134" fillId="0" borderId="0" xfId="0" applyFont="1" applyAlignment="1">
      <alignment horizontal="right"/>
    </xf>
    <xf numFmtId="0" fontId="134" fillId="0" borderId="12" xfId="0" applyFont="1" applyBorder="1" applyAlignment="1">
      <alignment horizontal="distributed" vertical="center" wrapText="1"/>
    </xf>
    <xf numFmtId="0" fontId="134" fillId="0" borderId="18" xfId="0" applyFont="1" applyFill="1" applyBorder="1" applyAlignment="1">
      <alignment horizontal="distributed" vertical="center" wrapText="1"/>
    </xf>
    <xf numFmtId="0" fontId="134" fillId="0" borderId="11" xfId="0" applyFont="1" applyFill="1" applyBorder="1" applyAlignment="1">
      <alignment horizontal="distributed" vertical="center" wrapText="1"/>
    </xf>
    <xf numFmtId="0" fontId="145" fillId="0" borderId="12" xfId="0" applyFont="1" applyBorder="1" applyAlignment="1">
      <alignment horizontal="distributed" vertical="center" wrapText="1"/>
    </xf>
    <xf numFmtId="180" fontId="146" fillId="0" borderId="18" xfId="0" applyNumberFormat="1" applyFont="1" applyFill="1" applyBorder="1" applyAlignment="1">
      <alignment horizontal="right" wrapText="1"/>
    </xf>
    <xf numFmtId="178" fontId="145" fillId="0" borderId="18" xfId="0" applyNumberFormat="1" applyFont="1" applyFill="1" applyBorder="1" applyAlignment="1">
      <alignment/>
    </xf>
    <xf numFmtId="176" fontId="146" fillId="0" borderId="18" xfId="0" applyNumberFormat="1" applyFont="1" applyFill="1" applyBorder="1" applyAlignment="1">
      <alignment horizontal="right" wrapText="1"/>
    </xf>
    <xf numFmtId="176" fontId="135" fillId="0" borderId="18" xfId="0" applyNumberFormat="1" applyFont="1" applyBorder="1" applyAlignment="1">
      <alignment horizontal="center" wrapText="1"/>
    </xf>
    <xf numFmtId="176" fontId="146" fillId="0" borderId="18" xfId="0" applyNumberFormat="1" applyFont="1" applyBorder="1" applyAlignment="1">
      <alignment horizontal="right" wrapText="1"/>
    </xf>
    <xf numFmtId="0" fontId="147" fillId="0" borderId="15" xfId="0" applyFont="1" applyBorder="1" applyAlignment="1" applyProtection="1">
      <alignment horizontal="distributed" vertical="center"/>
      <protection/>
    </xf>
    <xf numFmtId="180" fontId="146" fillId="0" borderId="10" xfId="0" applyNumberFormat="1" applyFont="1" applyBorder="1" applyAlignment="1">
      <alignment horizontal="right" wrapText="1"/>
    </xf>
    <xf numFmtId="180" fontId="145" fillId="0" borderId="10" xfId="0" applyNumberFormat="1" applyFont="1" applyBorder="1" applyAlignment="1">
      <alignment/>
    </xf>
    <xf numFmtId="180" fontId="146" fillId="0" borderId="10" xfId="0" applyNumberFormat="1" applyFont="1" applyBorder="1" applyAlignment="1">
      <alignment horizontal="center" wrapText="1"/>
    </xf>
    <xf numFmtId="180" fontId="146" fillId="0" borderId="10" xfId="0" applyNumberFormat="1" applyFont="1" applyBorder="1" applyAlignment="1">
      <alignment shrinkToFit="1"/>
    </xf>
    <xf numFmtId="0" fontId="134" fillId="0" borderId="15" xfId="0" applyFont="1" applyBorder="1" applyAlignment="1" applyProtection="1">
      <alignment horizontal="left" vertical="center"/>
      <protection/>
    </xf>
    <xf numFmtId="0" fontId="145" fillId="0" borderId="15" xfId="0" applyFont="1" applyBorder="1" applyAlignment="1" applyProtection="1">
      <alignment vertical="center"/>
      <protection/>
    </xf>
    <xf numFmtId="180" fontId="146" fillId="0" borderId="11" xfId="0" applyNumberFormat="1" applyFont="1" applyBorder="1" applyAlignment="1">
      <alignment horizontal="right" wrapText="1"/>
    </xf>
    <xf numFmtId="180" fontId="145" fillId="0" borderId="11" xfId="0" applyNumberFormat="1" applyFont="1" applyBorder="1" applyAlignment="1">
      <alignment/>
    </xf>
    <xf numFmtId="180" fontId="146" fillId="0" borderId="11" xfId="0" applyNumberFormat="1" applyFont="1" applyBorder="1" applyAlignment="1">
      <alignment horizontal="center" wrapText="1"/>
    </xf>
    <xf numFmtId="180" fontId="146" fillId="0" borderId="18" xfId="0" applyNumberFormat="1" applyFont="1" applyBorder="1" applyAlignment="1">
      <alignment horizontal="right" wrapText="1"/>
    </xf>
    <xf numFmtId="180" fontId="145" fillId="0" borderId="18" xfId="0" applyNumberFormat="1" applyFont="1" applyBorder="1" applyAlignment="1">
      <alignment/>
    </xf>
    <xf numFmtId="180" fontId="146" fillId="0" borderId="18" xfId="0" applyNumberFormat="1" applyFont="1" applyBorder="1" applyAlignment="1">
      <alignment horizontal="center" wrapText="1"/>
    </xf>
    <xf numFmtId="192" fontId="146" fillId="0" borderId="10" xfId="0" applyNumberFormat="1" applyFont="1" applyBorder="1" applyAlignment="1">
      <alignment shrinkToFit="1"/>
    </xf>
    <xf numFmtId="180" fontId="145" fillId="0" borderId="10" xfId="0" applyNumberFormat="1" applyFont="1" applyBorder="1" applyAlignment="1">
      <alignment horizontal="justify" wrapText="1"/>
    </xf>
    <xf numFmtId="192" fontId="146" fillId="0" borderId="10" xfId="0" applyNumberFormat="1" applyFont="1" applyBorder="1" applyAlignment="1">
      <alignment horizontal="right" wrapText="1"/>
    </xf>
    <xf numFmtId="209" fontId="146" fillId="0" borderId="10" xfId="0" applyNumberFormat="1" applyFont="1" applyBorder="1" applyAlignment="1">
      <alignment horizontal="right" wrapText="1"/>
    </xf>
    <xf numFmtId="209" fontId="146" fillId="0" borderId="10" xfId="0" applyNumberFormat="1" applyFont="1" applyBorder="1" applyAlignment="1">
      <alignment horizontal="center" wrapText="1"/>
    </xf>
    <xf numFmtId="180" fontId="145" fillId="0" borderId="18" xfId="0" applyNumberFormat="1" applyFont="1" applyBorder="1" applyAlignment="1">
      <alignment horizontal="justify" wrapText="1"/>
    </xf>
    <xf numFmtId="180" fontId="148" fillId="0" borderId="10" xfId="0" applyNumberFormat="1" applyFont="1" applyBorder="1" applyAlignment="1">
      <alignment horizontal="justify" wrapText="1"/>
    </xf>
    <xf numFmtId="192" fontId="146" fillId="0" borderId="10" xfId="0" applyNumberFormat="1" applyFont="1" applyBorder="1" applyAlignment="1">
      <alignment horizontal="center" wrapText="1"/>
    </xf>
    <xf numFmtId="180" fontId="146" fillId="0" borderId="10" xfId="0" applyNumberFormat="1" applyFont="1" applyFill="1" applyBorder="1" applyAlignment="1">
      <alignment shrinkToFit="1"/>
    </xf>
    <xf numFmtId="43" fontId="146" fillId="0" borderId="10" xfId="0" applyNumberFormat="1" applyFont="1" applyBorder="1" applyAlignment="1">
      <alignment horizontal="right" wrapText="1"/>
    </xf>
    <xf numFmtId="180" fontId="149" fillId="0" borderId="10" xfId="0" applyNumberFormat="1" applyFont="1" applyBorder="1" applyAlignment="1">
      <alignment shrinkToFit="1"/>
    </xf>
    <xf numFmtId="0" fontId="147" fillId="0" borderId="0" xfId="0" applyFont="1" applyBorder="1" applyAlignment="1" applyProtection="1">
      <alignment horizontal="distributed" vertical="center"/>
      <protection/>
    </xf>
    <xf numFmtId="180" fontId="150" fillId="0" borderId="10" xfId="0" applyNumberFormat="1" applyFont="1" applyBorder="1" applyAlignment="1">
      <alignment/>
    </xf>
    <xf numFmtId="180" fontId="150" fillId="0" borderId="10" xfId="0" applyNumberFormat="1" applyFont="1" applyBorder="1" applyAlignment="1">
      <alignment horizontal="left"/>
    </xf>
    <xf numFmtId="192" fontId="145" fillId="0" borderId="10" xfId="0" applyNumberFormat="1" applyFont="1" applyBorder="1" applyAlignment="1">
      <alignment horizontal="left"/>
    </xf>
    <xf numFmtId="41" fontId="146" fillId="0" borderId="10" xfId="0" applyNumberFormat="1" applyFont="1" applyBorder="1" applyAlignment="1">
      <alignment horizontal="right" wrapText="1"/>
    </xf>
    <xf numFmtId="180" fontId="145" fillId="0" borderId="10" xfId="0" applyNumberFormat="1" applyFont="1" applyBorder="1" applyAlignment="1">
      <alignment horizontal="left"/>
    </xf>
    <xf numFmtId="0" fontId="134" fillId="0" borderId="0" xfId="0" applyFont="1" applyBorder="1" applyAlignment="1" applyProtection="1">
      <alignment horizontal="left" vertical="center"/>
      <protection/>
    </xf>
    <xf numFmtId="41" fontId="146" fillId="0" borderId="10" xfId="0" applyNumberFormat="1" applyFont="1" applyBorder="1" applyAlignment="1">
      <alignment shrinkToFit="1"/>
    </xf>
    <xf numFmtId="41" fontId="146" fillId="0" borderId="10" xfId="0" applyNumberFormat="1" applyFont="1" applyBorder="1" applyAlignment="1">
      <alignment horizontal="right"/>
    </xf>
    <xf numFmtId="41" fontId="146" fillId="0" borderId="10" xfId="34" applyNumberFormat="1" applyFont="1" applyBorder="1" applyAlignment="1">
      <alignment/>
    </xf>
    <xf numFmtId="43" fontId="134" fillId="0" borderId="10" xfId="0" applyNumberFormat="1" applyFont="1" applyBorder="1" applyAlignment="1">
      <alignment horizontal="right"/>
    </xf>
    <xf numFmtId="41" fontId="146" fillId="0" borderId="0" xfId="34" applyNumberFormat="1" applyFont="1" applyAlignment="1">
      <alignment/>
    </xf>
    <xf numFmtId="41" fontId="146" fillId="0" borderId="10" xfId="0" applyNumberFormat="1" applyFont="1" applyBorder="1" applyAlignment="1">
      <alignment horizontal="center" wrapText="1"/>
    </xf>
    <xf numFmtId="210" fontId="146" fillId="0" borderId="10" xfId="0" applyNumberFormat="1" applyFont="1" applyBorder="1" applyAlignment="1">
      <alignment horizontal="right" wrapText="1"/>
    </xf>
    <xf numFmtId="180" fontId="148" fillId="0" borderId="10" xfId="0" applyNumberFormat="1" applyFont="1" applyBorder="1" applyAlignment="1">
      <alignment horizontal="left"/>
    </xf>
    <xf numFmtId="180" fontId="146" fillId="0" borderId="11" xfId="0" applyNumberFormat="1" applyFont="1" applyBorder="1" applyAlignment="1">
      <alignment/>
    </xf>
    <xf numFmtId="180" fontId="145" fillId="0" borderId="11" xfId="0" applyNumberFormat="1" applyFont="1" applyBorder="1" applyAlignment="1" applyProtection="1">
      <alignment horizontal="left"/>
      <protection/>
    </xf>
    <xf numFmtId="192" fontId="134" fillId="0" borderId="0" xfId="0" applyNumberFormat="1" applyFont="1" applyAlignment="1">
      <alignment/>
    </xf>
    <xf numFmtId="0" fontId="145" fillId="0" borderId="12" xfId="0" applyFont="1" applyBorder="1" applyAlignment="1">
      <alignment horizontal="distributed" vertical="center" textRotation="255" wrapText="1"/>
    </xf>
    <xf numFmtId="178" fontId="145" fillId="0" borderId="18" xfId="0" applyNumberFormat="1" applyFont="1" applyBorder="1" applyAlignment="1">
      <alignment/>
    </xf>
    <xf numFmtId="43" fontId="146" fillId="0" borderId="18" xfId="0" applyNumberFormat="1" applyFont="1" applyBorder="1" applyAlignment="1">
      <alignment horizontal="right" wrapText="1"/>
    </xf>
    <xf numFmtId="43" fontId="135" fillId="0" borderId="18" xfId="0" applyNumberFormat="1" applyFont="1" applyBorder="1" applyAlignment="1">
      <alignment horizontal="center" wrapText="1"/>
    </xf>
    <xf numFmtId="178" fontId="145" fillId="0" borderId="10" xfId="0" applyNumberFormat="1" applyFont="1" applyBorder="1" applyAlignment="1">
      <alignment/>
    </xf>
    <xf numFmtId="209" fontId="146" fillId="0" borderId="10" xfId="0" applyNumberFormat="1" applyFont="1" applyBorder="1" applyAlignment="1">
      <alignment shrinkToFit="1"/>
    </xf>
    <xf numFmtId="41" fontId="145" fillId="0" borderId="10" xfId="0" applyNumberFormat="1" applyFont="1" applyBorder="1" applyAlignment="1">
      <alignment/>
    </xf>
    <xf numFmtId="178" fontId="145" fillId="0" borderId="11" xfId="0" applyNumberFormat="1" applyFont="1" applyBorder="1" applyAlignment="1">
      <alignment/>
    </xf>
    <xf numFmtId="192" fontId="146" fillId="0" borderId="10" xfId="0" applyNumberFormat="1" applyFont="1" applyFill="1" applyBorder="1" applyAlignment="1">
      <alignment vertical="center" shrinkToFit="1"/>
    </xf>
    <xf numFmtId="41" fontId="145" fillId="0" borderId="10" xfId="0" applyNumberFormat="1" applyFont="1" applyBorder="1" applyAlignment="1">
      <alignment horizontal="justify" wrapText="1"/>
    </xf>
    <xf numFmtId="192" fontId="146" fillId="0" borderId="10" xfId="0" applyNumberFormat="1" applyFont="1" applyBorder="1" applyAlignment="1">
      <alignment vertical="center" shrinkToFit="1"/>
    </xf>
    <xf numFmtId="192" fontId="146" fillId="0" borderId="11" xfId="0" applyNumberFormat="1" applyFont="1" applyBorder="1" applyAlignment="1">
      <alignment horizontal="right" wrapText="1"/>
    </xf>
    <xf numFmtId="0" fontId="145" fillId="0" borderId="18" xfId="0" applyFont="1" applyBorder="1" applyAlignment="1">
      <alignment horizontal="justify" wrapText="1"/>
    </xf>
    <xf numFmtId="180" fontId="146" fillId="0" borderId="10" xfId="0" applyNumberFormat="1" applyFont="1" applyBorder="1" applyAlignment="1">
      <alignment vertical="center" shrinkToFit="1"/>
    </xf>
    <xf numFmtId="0" fontId="145" fillId="0" borderId="10" xfId="0" applyFont="1" applyBorder="1" applyAlignment="1">
      <alignment horizontal="justify" wrapText="1"/>
    </xf>
    <xf numFmtId="0" fontId="151" fillId="0" borderId="10" xfId="0" applyFont="1" applyBorder="1" applyAlignment="1">
      <alignment horizontal="justify" wrapText="1"/>
    </xf>
    <xf numFmtId="41" fontId="151" fillId="0" borderId="10" xfId="0" applyNumberFormat="1" applyFont="1" applyBorder="1" applyAlignment="1">
      <alignment horizontal="justify" wrapText="1"/>
    </xf>
    <xf numFmtId="0" fontId="134" fillId="0" borderId="0" xfId="0" applyFont="1" applyBorder="1" applyAlignment="1">
      <alignment/>
    </xf>
    <xf numFmtId="178" fontId="151" fillId="0" borderId="10" xfId="0" applyNumberFormat="1" applyFont="1" applyBorder="1" applyAlignment="1">
      <alignment/>
    </xf>
    <xf numFmtId="178" fontId="151" fillId="0" borderId="11" xfId="0" applyNumberFormat="1" applyFont="1" applyBorder="1" applyAlignment="1">
      <alignment/>
    </xf>
    <xf numFmtId="178" fontId="150" fillId="0" borderId="10" xfId="0" applyNumberFormat="1" applyFont="1" applyBorder="1" applyAlignment="1">
      <alignment/>
    </xf>
    <xf numFmtId="178" fontId="150" fillId="0" borderId="10" xfId="0" applyNumberFormat="1" applyFont="1" applyBorder="1" applyAlignment="1">
      <alignment horizontal="left"/>
    </xf>
    <xf numFmtId="178" fontId="145" fillId="0" borderId="10" xfId="0" applyNumberFormat="1" applyFont="1" applyBorder="1" applyAlignment="1">
      <alignment horizontal="left"/>
    </xf>
    <xf numFmtId="41" fontId="145" fillId="0" borderId="10" xfId="0" applyNumberFormat="1" applyFont="1" applyBorder="1" applyAlignment="1">
      <alignment horizontal="left"/>
    </xf>
    <xf numFmtId="0" fontId="145" fillId="0" borderId="11" xfId="0" applyFont="1" applyBorder="1" applyAlignment="1" applyProtection="1">
      <alignment horizontal="left"/>
      <protection/>
    </xf>
    <xf numFmtId="192" fontId="146" fillId="0" borderId="18" xfId="0" applyNumberFormat="1" applyFont="1" applyBorder="1" applyAlignment="1">
      <alignment horizontal="right" wrapText="1"/>
    </xf>
    <xf numFmtId="192" fontId="146" fillId="0" borderId="18" xfId="0" applyNumberFormat="1" applyFont="1" applyBorder="1" applyAlignment="1">
      <alignment horizontal="center" wrapText="1"/>
    </xf>
    <xf numFmtId="192" fontId="145" fillId="0" borderId="10" xfId="0" applyNumberFormat="1" applyFont="1" applyBorder="1" applyAlignment="1">
      <alignment/>
    </xf>
    <xf numFmtId="192" fontId="146" fillId="0" borderId="11" xfId="0" applyNumberFormat="1" applyFont="1" applyBorder="1" applyAlignment="1">
      <alignment shrinkToFit="1"/>
    </xf>
    <xf numFmtId="180" fontId="148" fillId="0" borderId="18" xfId="0" applyNumberFormat="1" applyFont="1" applyBorder="1" applyAlignment="1">
      <alignment horizontal="justify" wrapText="1"/>
    </xf>
    <xf numFmtId="180" fontId="152" fillId="0" borderId="10" xfId="0" applyNumberFormat="1" applyFont="1" applyBorder="1" applyAlignment="1">
      <alignment horizontal="justify" wrapText="1"/>
    </xf>
    <xf numFmtId="192" fontId="148" fillId="0" borderId="10" xfId="0" applyNumberFormat="1" applyFont="1" applyBorder="1" applyAlignment="1">
      <alignment horizontal="justify" wrapText="1"/>
    </xf>
    <xf numFmtId="180" fontId="151" fillId="0" borderId="10" xfId="0" applyNumberFormat="1" applyFont="1" applyBorder="1" applyAlignment="1">
      <alignment/>
    </xf>
    <xf numFmtId="180" fontId="151" fillId="0" borderId="11" xfId="0" applyNumberFormat="1" applyFont="1" applyBorder="1" applyAlignment="1">
      <alignment/>
    </xf>
    <xf numFmtId="180" fontId="134" fillId="0" borderId="0" xfId="0" applyNumberFormat="1" applyFont="1" applyAlignment="1">
      <alignment/>
    </xf>
    <xf numFmtId="209" fontId="145" fillId="0" borderId="10" xfId="0" applyNumberFormat="1" applyFont="1" applyBorder="1" applyAlignment="1">
      <alignment/>
    </xf>
    <xf numFmtId="197" fontId="146" fillId="0" borderId="18" xfId="0" applyNumberFormat="1" applyFont="1" applyBorder="1" applyAlignment="1">
      <alignment horizontal="right" wrapText="1"/>
    </xf>
    <xf numFmtId="197" fontId="146" fillId="0" borderId="10" xfId="0" applyNumberFormat="1" applyFont="1" applyBorder="1" applyAlignment="1">
      <alignment horizontal="right" wrapText="1"/>
    </xf>
    <xf numFmtId="180" fontId="151" fillId="0" borderId="18" xfId="0" applyNumberFormat="1" applyFont="1" applyBorder="1" applyAlignment="1">
      <alignment horizontal="justify" wrapText="1"/>
    </xf>
    <xf numFmtId="180" fontId="151" fillId="0" borderId="10" xfId="0" applyNumberFormat="1" applyFont="1" applyBorder="1" applyAlignment="1">
      <alignment horizontal="justify" wrapText="1"/>
    </xf>
    <xf numFmtId="197" fontId="146" fillId="0" borderId="11" xfId="0" applyNumberFormat="1" applyFont="1" applyBorder="1" applyAlignment="1">
      <alignment horizontal="right" wrapText="1"/>
    </xf>
    <xf numFmtId="197" fontId="146" fillId="36" borderId="10" xfId="0" applyNumberFormat="1" applyFont="1" applyFill="1" applyBorder="1" applyAlignment="1">
      <alignment horizontal="right" wrapText="1"/>
    </xf>
    <xf numFmtId="197" fontId="146" fillId="0" borderId="11" xfId="0" applyNumberFormat="1" applyFont="1" applyBorder="1" applyAlignment="1">
      <alignment/>
    </xf>
    <xf numFmtId="180" fontId="134" fillId="0" borderId="0" xfId="0" applyNumberFormat="1" applyFont="1" applyAlignment="1">
      <alignment horizontal="right"/>
    </xf>
    <xf numFmtId="180" fontId="134" fillId="0" borderId="18" xfId="0" applyNumberFormat="1" applyFont="1" applyFill="1" applyBorder="1" applyAlignment="1">
      <alignment horizontal="distributed" vertical="center" wrapText="1"/>
    </xf>
    <xf numFmtId="180" fontId="134" fillId="0" borderId="11" xfId="0" applyNumberFormat="1" applyFont="1" applyFill="1" applyBorder="1" applyAlignment="1">
      <alignment horizontal="distributed" vertical="center" wrapText="1"/>
    </xf>
    <xf numFmtId="180" fontId="136" fillId="0" borderId="12" xfId="0" applyNumberFormat="1" applyFont="1" applyFill="1" applyBorder="1" applyAlignment="1">
      <alignment horizontal="distributed" vertical="center" wrapText="1"/>
    </xf>
    <xf numFmtId="180" fontId="135" fillId="0" borderId="18" xfId="0" applyNumberFormat="1" applyFont="1" applyBorder="1" applyAlignment="1">
      <alignment horizontal="center" wrapText="1"/>
    </xf>
    <xf numFmtId="180" fontId="135" fillId="0" borderId="10" xfId="0" applyNumberFormat="1" applyFont="1" applyBorder="1" applyAlignment="1">
      <alignment horizontal="center" wrapText="1"/>
    </xf>
    <xf numFmtId="209" fontId="135" fillId="0" borderId="10" xfId="0" applyNumberFormat="1" applyFont="1" applyBorder="1" applyAlignment="1">
      <alignment horizontal="center" wrapText="1"/>
    </xf>
    <xf numFmtId="192" fontId="135" fillId="0" borderId="10" xfId="0" applyNumberFormat="1" applyFont="1" applyBorder="1" applyAlignment="1">
      <alignment horizontal="center" wrapText="1"/>
    </xf>
    <xf numFmtId="180" fontId="135" fillId="0" borderId="11" xfId="0" applyNumberFormat="1" applyFont="1" applyBorder="1" applyAlignment="1">
      <alignment horizontal="center" wrapText="1"/>
    </xf>
    <xf numFmtId="41" fontId="146" fillId="0" borderId="18" xfId="0" applyNumberFormat="1" applyFont="1" applyBorder="1" applyAlignment="1">
      <alignment horizontal="right" wrapText="1"/>
    </xf>
    <xf numFmtId="41" fontId="135" fillId="0" borderId="18" xfId="0" applyNumberFormat="1" applyFont="1" applyBorder="1" applyAlignment="1">
      <alignment horizontal="center" wrapText="1"/>
    </xf>
    <xf numFmtId="41" fontId="135" fillId="0" borderId="10" xfId="0" applyNumberFormat="1" applyFont="1" applyBorder="1" applyAlignment="1">
      <alignment horizontal="center" wrapText="1"/>
    </xf>
    <xf numFmtId="193" fontId="146" fillId="0" borderId="10" xfId="0" applyNumberFormat="1" applyFont="1" applyBorder="1" applyAlignment="1">
      <alignment horizontal="right" wrapText="1"/>
    </xf>
    <xf numFmtId="180" fontId="135" fillId="0" borderId="18" xfId="0" applyNumberFormat="1" applyFont="1" applyBorder="1" applyAlignment="1">
      <alignment horizontal="right" wrapText="1"/>
    </xf>
    <xf numFmtId="197" fontId="146" fillId="0" borderId="10" xfId="0" applyNumberFormat="1" applyFont="1" applyBorder="1" applyAlignment="1">
      <alignment shrinkToFit="1"/>
    </xf>
    <xf numFmtId="180" fontId="145" fillId="0" borderId="10" xfId="0" applyNumberFormat="1" applyFont="1" applyBorder="1" applyAlignment="1">
      <alignment/>
    </xf>
    <xf numFmtId="180" fontId="146" fillId="0" borderId="10" xfId="0" applyNumberFormat="1" applyFont="1" applyBorder="1" applyAlignment="1">
      <alignment/>
    </xf>
    <xf numFmtId="180" fontId="146" fillId="0" borderId="10" xfId="34" applyNumberFormat="1" applyFont="1" applyBorder="1" applyAlignment="1">
      <alignment/>
    </xf>
    <xf numFmtId="180" fontId="134" fillId="0" borderId="10" xfId="0" applyNumberFormat="1" applyFont="1" applyBorder="1" applyAlignment="1">
      <alignment/>
    </xf>
    <xf numFmtId="41" fontId="148" fillId="0" borderId="0" xfId="0" applyNumberFormat="1" applyFont="1" applyAlignment="1">
      <alignment/>
    </xf>
    <xf numFmtId="180" fontId="135" fillId="0" borderId="11" xfId="0" applyNumberFormat="1" applyFont="1" applyBorder="1" applyAlignment="1">
      <alignment/>
    </xf>
    <xf numFmtId="0" fontId="153" fillId="0" borderId="0" xfId="0" applyFont="1" applyAlignment="1">
      <alignment horizontal="center" vertical="center"/>
    </xf>
    <xf numFmtId="0" fontId="134" fillId="0" borderId="0" xfId="0" applyFont="1" applyAlignment="1">
      <alignment vertical="center"/>
    </xf>
    <xf numFmtId="192" fontId="154" fillId="0" borderId="10" xfId="0" applyNumberFormat="1" applyFont="1" applyFill="1" applyBorder="1" applyAlignment="1">
      <alignment vertical="center" shrinkToFit="1"/>
    </xf>
    <xf numFmtId="192" fontId="155" fillId="0" borderId="10" xfId="0" applyNumberFormat="1" applyFont="1" applyBorder="1" applyAlignment="1">
      <alignment vertical="center" shrinkToFit="1"/>
    </xf>
    <xf numFmtId="192" fontId="154" fillId="0" borderId="10" xfId="0" applyNumberFormat="1" applyFont="1" applyBorder="1" applyAlignment="1">
      <alignment vertical="center" shrinkToFit="1"/>
    </xf>
    <xf numFmtId="192" fontId="155" fillId="0" borderId="11" xfId="0" applyNumberFormat="1" applyFont="1" applyBorder="1" applyAlignment="1">
      <alignment vertical="center" shrinkToFit="1"/>
    </xf>
    <xf numFmtId="0" fontId="156" fillId="0" borderId="0" xfId="0" applyFont="1" applyAlignment="1">
      <alignment vertical="center"/>
    </xf>
    <xf numFmtId="0" fontId="134" fillId="0" borderId="0" xfId="0" applyFont="1" applyAlignment="1">
      <alignment horizontal="right" vertical="center"/>
    </xf>
    <xf numFmtId="0" fontId="157" fillId="0" borderId="0" xfId="0" applyFont="1" applyAlignment="1">
      <alignment vertical="center"/>
    </xf>
    <xf numFmtId="0" fontId="157" fillId="0" borderId="0" xfId="0" applyFont="1" applyAlignment="1">
      <alignment horizontal="centerContinuous" vertical="center"/>
    </xf>
    <xf numFmtId="0" fontId="158" fillId="0" borderId="0" xfId="0" applyFont="1" applyAlignment="1">
      <alignment vertical="center"/>
    </xf>
    <xf numFmtId="0" fontId="134" fillId="0" borderId="12" xfId="0" applyFont="1" applyFill="1" applyBorder="1" applyAlignment="1">
      <alignment horizontal="distributed" vertical="center"/>
    </xf>
    <xf numFmtId="178" fontId="134" fillId="0" borderId="12" xfId="0" applyNumberFormat="1" applyFont="1" applyFill="1" applyBorder="1" applyAlignment="1">
      <alignment horizontal="distributed" vertical="center"/>
    </xf>
    <xf numFmtId="0" fontId="156" fillId="0" borderId="12" xfId="0" applyFont="1" applyFill="1" applyBorder="1" applyAlignment="1">
      <alignment horizontal="center" vertical="center" shrinkToFit="1"/>
    </xf>
    <xf numFmtId="43" fontId="154" fillId="0" borderId="10" xfId="0" applyNumberFormat="1" applyFont="1" applyFill="1" applyBorder="1" applyAlignment="1">
      <alignment vertical="center" shrinkToFit="1"/>
    </xf>
    <xf numFmtId="178" fontId="159" fillId="0" borderId="10" xfId="0" applyNumberFormat="1" applyFont="1" applyFill="1" applyBorder="1" applyAlignment="1">
      <alignment vertical="center"/>
    </xf>
    <xf numFmtId="180" fontId="154" fillId="0" borderId="10" xfId="0" applyNumberFormat="1" applyFont="1" applyFill="1" applyBorder="1" applyAlignment="1">
      <alignment vertical="center" shrinkToFit="1"/>
    </xf>
    <xf numFmtId="176" fontId="154" fillId="0" borderId="10" xfId="0" applyNumberFormat="1" applyFont="1" applyFill="1" applyBorder="1" applyAlignment="1">
      <alignment vertical="center" shrinkToFit="1"/>
    </xf>
    <xf numFmtId="43" fontId="155" fillId="0" borderId="10" xfId="0" applyNumberFormat="1" applyFont="1" applyBorder="1" applyAlignment="1">
      <alignment vertical="center" shrinkToFit="1"/>
    </xf>
    <xf numFmtId="178" fontId="136" fillId="0" borderId="10" xfId="0" applyNumberFormat="1" applyFont="1" applyBorder="1" applyAlignment="1">
      <alignment vertical="center"/>
    </xf>
    <xf numFmtId="180" fontId="155" fillId="0" borderId="10" xfId="0" applyNumberFormat="1" applyFont="1" applyBorder="1" applyAlignment="1">
      <alignment vertical="center" shrinkToFit="1"/>
    </xf>
    <xf numFmtId="176" fontId="155" fillId="0" borderId="10" xfId="0" applyNumberFormat="1" applyFont="1" applyBorder="1" applyAlignment="1">
      <alignment vertical="center" shrinkToFit="1"/>
    </xf>
    <xf numFmtId="192" fontId="155" fillId="0" borderId="10" xfId="0" applyNumberFormat="1" applyFont="1" applyFill="1" applyBorder="1" applyAlignment="1">
      <alignment vertical="center" shrinkToFit="1"/>
    </xf>
    <xf numFmtId="43" fontId="154" fillId="0" borderId="10" xfId="0" applyNumberFormat="1" applyFont="1" applyBorder="1" applyAlignment="1">
      <alignment vertical="center" shrinkToFit="1"/>
    </xf>
    <xf numFmtId="176" fontId="154" fillId="0" borderId="10" xfId="0" applyNumberFormat="1" applyFont="1" applyBorder="1" applyAlignment="1">
      <alignment vertical="center" shrinkToFit="1"/>
    </xf>
    <xf numFmtId="178" fontId="159" fillId="0" borderId="10" xfId="0" applyNumberFormat="1" applyFont="1" applyBorder="1" applyAlignment="1">
      <alignment vertical="center"/>
    </xf>
    <xf numFmtId="180" fontId="154" fillId="0" borderId="10" xfId="0" applyNumberFormat="1" applyFont="1" applyBorder="1" applyAlignment="1">
      <alignment vertical="center" shrinkToFit="1"/>
    </xf>
    <xf numFmtId="209" fontId="155" fillId="0" borderId="10" xfId="0" applyNumberFormat="1" applyFont="1" applyBorder="1" applyAlignment="1">
      <alignment vertical="center" shrinkToFit="1"/>
    </xf>
    <xf numFmtId="178" fontId="151" fillId="0" borderId="10" xfId="0" applyNumberFormat="1" applyFont="1" applyBorder="1" applyAlignment="1">
      <alignment vertical="center"/>
    </xf>
    <xf numFmtId="178" fontId="145" fillId="0" borderId="10" xfId="0" applyNumberFormat="1" applyFont="1" applyBorder="1" applyAlignment="1">
      <alignment vertical="center"/>
    </xf>
    <xf numFmtId="210" fontId="155" fillId="0" borderId="10" xfId="0" applyNumberFormat="1" applyFont="1" applyBorder="1" applyAlignment="1">
      <alignment vertical="center" shrinkToFit="1"/>
    </xf>
    <xf numFmtId="43" fontId="154" fillId="0" borderId="11" xfId="0" applyNumberFormat="1" applyFont="1" applyBorder="1" applyAlignment="1">
      <alignment vertical="center" shrinkToFit="1"/>
    </xf>
    <xf numFmtId="178" fontId="136" fillId="0" borderId="11" xfId="0" applyNumberFormat="1" applyFont="1" applyBorder="1" applyAlignment="1">
      <alignment vertical="center"/>
    </xf>
    <xf numFmtId="180" fontId="155" fillId="0" borderId="11" xfId="0" applyNumberFormat="1" applyFont="1" applyBorder="1" applyAlignment="1">
      <alignment vertical="center" shrinkToFit="1"/>
    </xf>
    <xf numFmtId="176" fontId="154" fillId="0" borderId="11" xfId="0" applyNumberFormat="1" applyFont="1" applyBorder="1" applyAlignment="1">
      <alignment vertical="center" shrinkToFit="1"/>
    </xf>
    <xf numFmtId="0" fontId="160" fillId="0" borderId="0" xfId="0" applyFont="1" applyAlignment="1">
      <alignment horizontal="center" vertical="center"/>
    </xf>
    <xf numFmtId="0" fontId="161" fillId="0" borderId="0" xfId="0" applyFont="1" applyAlignment="1">
      <alignment horizontal="center" vertical="center"/>
    </xf>
    <xf numFmtId="0" fontId="156" fillId="0" borderId="0" xfId="0" applyFont="1" applyAlignment="1">
      <alignment vertical="center"/>
    </xf>
    <xf numFmtId="43" fontId="162" fillId="0" borderId="18" xfId="0" applyNumberFormat="1" applyFont="1" applyFill="1" applyBorder="1" applyAlignment="1">
      <alignment vertical="center" shrinkToFit="1"/>
    </xf>
    <xf numFmtId="178" fontId="163" fillId="0" borderId="10" xfId="0" applyNumberFormat="1" applyFont="1" applyFill="1" applyBorder="1" applyAlignment="1">
      <alignment vertical="center"/>
    </xf>
    <xf numFmtId="43" fontId="162" fillId="0" borderId="10" xfId="0" applyNumberFormat="1" applyFont="1" applyFill="1" applyBorder="1" applyAlignment="1">
      <alignment vertical="center" shrinkToFit="1"/>
    </xf>
    <xf numFmtId="176" fontId="164" fillId="0" borderId="10" xfId="0" applyNumberFormat="1" applyFont="1" applyFill="1" applyBorder="1" applyAlignment="1">
      <alignment vertical="center" shrinkToFit="1"/>
    </xf>
    <xf numFmtId="176" fontId="135" fillId="0" borderId="0" xfId="0" applyNumberFormat="1" applyFont="1" applyAlignment="1">
      <alignment vertical="center"/>
    </xf>
    <xf numFmtId="176" fontId="165" fillId="0" borderId="0" xfId="0" applyNumberFormat="1" applyFont="1" applyAlignment="1">
      <alignment vertical="center"/>
    </xf>
    <xf numFmtId="192" fontId="165" fillId="0" borderId="10" xfId="0" applyNumberFormat="1" applyFont="1" applyBorder="1" applyAlignment="1">
      <alignment vertical="center" shrinkToFit="1"/>
    </xf>
    <xf numFmtId="43" fontId="165" fillId="0" borderId="10" xfId="0" applyNumberFormat="1" applyFont="1" applyBorder="1" applyAlignment="1">
      <alignment vertical="center" shrinkToFit="1"/>
    </xf>
    <xf numFmtId="176" fontId="166" fillId="0" borderId="10" xfId="0" applyNumberFormat="1" applyFont="1" applyBorder="1" applyAlignment="1">
      <alignment vertical="center" shrinkToFit="1"/>
    </xf>
    <xf numFmtId="43" fontId="162" fillId="0" borderId="10" xfId="0" applyNumberFormat="1" applyFont="1" applyBorder="1" applyAlignment="1">
      <alignment vertical="center" shrinkToFit="1"/>
    </xf>
    <xf numFmtId="178" fontId="163" fillId="0" borderId="10" xfId="0" applyNumberFormat="1" applyFont="1" applyBorder="1" applyAlignment="1">
      <alignment vertical="center"/>
    </xf>
    <xf numFmtId="176" fontId="164" fillId="0" borderId="10" xfId="0" applyNumberFormat="1" applyFont="1" applyBorder="1" applyAlignment="1">
      <alignment vertical="center" shrinkToFit="1"/>
    </xf>
    <xf numFmtId="41" fontId="155" fillId="0" borderId="10" xfId="0" applyNumberFormat="1" applyFont="1" applyBorder="1" applyAlignment="1">
      <alignment vertical="center" shrinkToFit="1"/>
    </xf>
    <xf numFmtId="41" fontId="165" fillId="0" borderId="10" xfId="0" applyNumberFormat="1" applyFont="1" applyBorder="1" applyAlignment="1">
      <alignment vertical="center" shrinkToFit="1"/>
    </xf>
    <xf numFmtId="41" fontId="166" fillId="0" borderId="10" xfId="0" applyNumberFormat="1" applyFont="1" applyBorder="1" applyAlignment="1">
      <alignment vertical="center" shrinkToFit="1"/>
    </xf>
    <xf numFmtId="178" fontId="147" fillId="0" borderId="10" xfId="0" applyNumberFormat="1" applyFont="1" applyBorder="1" applyAlignment="1">
      <alignment vertical="center"/>
    </xf>
    <xf numFmtId="43" fontId="154" fillId="0" borderId="0" xfId="0" applyNumberFormat="1" applyFont="1" applyBorder="1" applyAlignment="1">
      <alignment vertical="center" shrinkToFit="1"/>
    </xf>
    <xf numFmtId="178" fontId="167" fillId="0" borderId="10" xfId="0" applyNumberFormat="1" applyFont="1" applyBorder="1" applyAlignment="1">
      <alignment vertical="center"/>
    </xf>
    <xf numFmtId="43" fontId="155" fillId="0" borderId="0" xfId="0" applyNumberFormat="1" applyFont="1" applyBorder="1" applyAlignment="1">
      <alignment vertical="center" shrinkToFit="1"/>
    </xf>
    <xf numFmtId="180" fontId="154" fillId="0" borderId="11" xfId="0" applyNumberFormat="1" applyFont="1" applyBorder="1" applyAlignment="1">
      <alignment vertical="center" shrinkToFit="1"/>
    </xf>
    <xf numFmtId="43" fontId="162" fillId="0" borderId="11" xfId="0" applyNumberFormat="1" applyFont="1" applyBorder="1" applyAlignment="1">
      <alignment vertical="center" shrinkToFit="1"/>
    </xf>
    <xf numFmtId="178" fontId="167" fillId="0" borderId="11" xfId="0" applyNumberFormat="1" applyFont="1" applyBorder="1" applyAlignment="1">
      <alignment vertical="center"/>
    </xf>
    <xf numFmtId="43" fontId="168" fillId="0" borderId="11" xfId="0" applyNumberFormat="1" applyFont="1" applyBorder="1" applyAlignment="1">
      <alignment vertical="center" shrinkToFit="1"/>
    </xf>
    <xf numFmtId="176" fontId="164" fillId="0" borderId="11" xfId="0" applyNumberFormat="1" applyFont="1" applyBorder="1" applyAlignment="1">
      <alignment vertical="center" shrinkToFit="1"/>
    </xf>
    <xf numFmtId="37" fontId="134" fillId="0" borderId="17" xfId="33" applyFont="1" applyBorder="1">
      <alignment/>
      <protection/>
    </xf>
    <xf numFmtId="37" fontId="134" fillId="0" borderId="19" xfId="33" applyFont="1" applyBorder="1">
      <alignment/>
      <protection/>
    </xf>
    <xf numFmtId="37" fontId="134" fillId="0" borderId="20" xfId="33" applyFont="1" applyBorder="1">
      <alignment/>
      <protection/>
    </xf>
    <xf numFmtId="37" fontId="169" fillId="0" borderId="15" xfId="33" applyFont="1" applyBorder="1" applyAlignment="1" applyProtection="1">
      <alignment horizontal="left" vertical="center"/>
      <protection/>
    </xf>
    <xf numFmtId="37" fontId="169" fillId="0" borderId="0" xfId="33" applyFont="1" applyBorder="1" applyAlignment="1" applyProtection="1">
      <alignment horizontal="center" vertical="center"/>
      <protection/>
    </xf>
    <xf numFmtId="37" fontId="157" fillId="0" borderId="13" xfId="33" applyFont="1" applyBorder="1" applyAlignment="1" applyProtection="1">
      <alignment horizontal="left" vertical="center"/>
      <protection/>
    </xf>
    <xf numFmtId="37" fontId="163" fillId="0" borderId="15" xfId="33" applyFont="1" applyBorder="1" applyAlignment="1" applyProtection="1">
      <alignment horizontal="left" vertical="center"/>
      <protection/>
    </xf>
    <xf numFmtId="37" fontId="170" fillId="0" borderId="0" xfId="33" applyFont="1" applyBorder="1" applyAlignment="1" applyProtection="1">
      <alignment horizontal="center"/>
      <protection/>
    </xf>
    <xf numFmtId="37" fontId="170" fillId="0" borderId="0" xfId="33" applyFont="1" applyBorder="1" applyAlignment="1" applyProtection="1">
      <alignment horizontal="left"/>
      <protection/>
    </xf>
    <xf numFmtId="2" fontId="170" fillId="0" borderId="13" xfId="33" applyNumberFormat="1" applyFont="1" applyBorder="1" applyAlignment="1" applyProtection="1">
      <alignment horizontal="left"/>
      <protection/>
    </xf>
    <xf numFmtId="37" fontId="134" fillId="0" borderId="15" xfId="33" applyFont="1" applyBorder="1" applyAlignment="1" applyProtection="1">
      <alignment horizontal="left" vertical="center" indent="1"/>
      <protection/>
    </xf>
    <xf numFmtId="176" fontId="165" fillId="0" borderId="0" xfId="33" applyNumberFormat="1" applyFont="1" applyBorder="1" applyAlignment="1" applyProtection="1">
      <alignment horizontal="center" vertical="center"/>
      <protection/>
    </xf>
    <xf numFmtId="176" fontId="165" fillId="0" borderId="13" xfId="33" applyNumberFormat="1" applyFont="1" applyBorder="1" applyAlignment="1" applyProtection="1">
      <alignment vertical="center"/>
      <protection/>
    </xf>
    <xf numFmtId="37" fontId="165" fillId="0" borderId="15" xfId="33" applyFont="1" applyBorder="1" applyAlignment="1">
      <alignment horizontal="left" vertical="center" indent="1"/>
      <protection/>
    </xf>
    <xf numFmtId="176" fontId="165" fillId="0" borderId="0" xfId="33" applyNumberFormat="1" applyFont="1" applyBorder="1" applyAlignment="1">
      <alignment horizontal="center" vertical="center"/>
      <protection/>
    </xf>
    <xf numFmtId="37" fontId="165" fillId="0" borderId="15" xfId="33" applyFont="1" applyBorder="1" applyAlignment="1" applyProtection="1">
      <alignment horizontal="left" vertical="center"/>
      <protection/>
    </xf>
    <xf numFmtId="37" fontId="165" fillId="0" borderId="15" xfId="33" applyFont="1" applyBorder="1" applyAlignment="1">
      <alignment vertical="center"/>
      <protection/>
    </xf>
    <xf numFmtId="37" fontId="147" fillId="0" borderId="15" xfId="33" applyFont="1" applyBorder="1" applyAlignment="1" applyProtection="1">
      <alignment horizontal="left" vertical="center"/>
      <protection/>
    </xf>
    <xf numFmtId="0" fontId="160" fillId="0" borderId="0" xfId="0" applyFont="1" applyAlignment="1">
      <alignment vertical="center"/>
    </xf>
    <xf numFmtId="0" fontId="161" fillId="0" borderId="0" xfId="0" applyFont="1" applyAlignment="1">
      <alignment horizontal="right" vertical="center"/>
    </xf>
    <xf numFmtId="0" fontId="161" fillId="0" borderId="0" xfId="0" applyFont="1" applyAlignment="1">
      <alignment vertical="center"/>
    </xf>
    <xf numFmtId="0" fontId="171" fillId="0" borderId="0" xfId="0" applyFont="1" applyAlignment="1">
      <alignment vertical="center"/>
    </xf>
    <xf numFmtId="0" fontId="172" fillId="0" borderId="0" xfId="0" applyFont="1" applyBorder="1" applyAlignment="1">
      <alignment horizontal="center" vertical="center"/>
    </xf>
    <xf numFmtId="0" fontId="173" fillId="0" borderId="0" xfId="0" applyFont="1" applyBorder="1" applyAlignment="1">
      <alignment horizontal="center" vertical="center"/>
    </xf>
    <xf numFmtId="0" fontId="173" fillId="0" borderId="0" xfId="0" applyFont="1" applyAlignment="1">
      <alignment horizontal="center" vertical="center"/>
    </xf>
    <xf numFmtId="0" fontId="174" fillId="0" borderId="0" xfId="0" applyFont="1" applyAlignment="1">
      <alignment horizontal="center" vertical="center"/>
    </xf>
    <xf numFmtId="0" fontId="160" fillId="0" borderId="0" xfId="0" applyFont="1" applyAlignment="1">
      <alignment horizontal="right" vertical="center"/>
    </xf>
    <xf numFmtId="0" fontId="160" fillId="0" borderId="0" xfId="0" applyFont="1" applyAlignment="1">
      <alignment horizontal="left" vertical="center"/>
    </xf>
    <xf numFmtId="0" fontId="134" fillId="0" borderId="0" xfId="0" applyFont="1" applyAlignment="1">
      <alignment horizontal="left" vertical="center"/>
    </xf>
    <xf numFmtId="0" fontId="136" fillId="0" borderId="21" xfId="0" applyFont="1" applyBorder="1" applyAlignment="1">
      <alignment vertical="center"/>
    </xf>
    <xf numFmtId="0" fontId="136" fillId="0" borderId="0" xfId="0" applyFont="1" applyAlignment="1">
      <alignment vertical="center"/>
    </xf>
    <xf numFmtId="0" fontId="175" fillId="0" borderId="0" xfId="0" applyFont="1" applyBorder="1" applyAlignment="1">
      <alignment horizontal="center" vertical="center"/>
    </xf>
    <xf numFmtId="0" fontId="156" fillId="0" borderId="0" xfId="0" applyFont="1" applyBorder="1" applyAlignment="1">
      <alignment horizontal="center" vertical="center"/>
    </xf>
    <xf numFmtId="0" fontId="175" fillId="0" borderId="0" xfId="0" applyFont="1" applyBorder="1" applyAlignment="1">
      <alignment horizontal="right" vertical="center"/>
    </xf>
    <xf numFmtId="0" fontId="134" fillId="0" borderId="0" xfId="0" applyFont="1" applyBorder="1" applyAlignment="1">
      <alignment horizontal="left" vertical="center"/>
    </xf>
    <xf numFmtId="0" fontId="136" fillId="0" borderId="0" xfId="0" applyFont="1" applyAlignment="1">
      <alignment horizontal="centerContinuous" vertical="center"/>
    </xf>
    <xf numFmtId="0" fontId="156" fillId="0" borderId="0" xfId="0" applyFont="1" applyFill="1" applyAlignment="1">
      <alignment vertical="center"/>
    </xf>
    <xf numFmtId="0" fontId="136" fillId="0" borderId="12" xfId="0" applyFont="1" applyBorder="1" applyAlignment="1">
      <alignment horizontal="distributed" vertical="center"/>
    </xf>
    <xf numFmtId="192" fontId="162" fillId="0" borderId="18" xfId="0" applyNumberFormat="1" applyFont="1" applyBorder="1" applyAlignment="1">
      <alignment vertical="center" shrinkToFit="1"/>
    </xf>
    <xf numFmtId="43" fontId="162" fillId="0" borderId="18" xfId="0" applyNumberFormat="1" applyFont="1" applyBorder="1" applyAlignment="1">
      <alignment vertical="center" shrinkToFit="1"/>
    </xf>
    <xf numFmtId="180" fontId="162" fillId="0" borderId="18" xfId="0" applyNumberFormat="1" applyFont="1" applyBorder="1" applyAlignment="1">
      <alignment vertical="center" shrinkToFit="1"/>
    </xf>
    <xf numFmtId="43" fontId="165" fillId="0" borderId="18" xfId="0" applyNumberFormat="1" applyFont="1" applyBorder="1" applyAlignment="1">
      <alignment vertical="center" shrinkToFit="1"/>
    </xf>
    <xf numFmtId="180" fontId="165" fillId="0" borderId="10" xfId="0" applyNumberFormat="1" applyFont="1" applyBorder="1" applyAlignment="1">
      <alignment vertical="center" shrinkToFit="1"/>
    </xf>
    <xf numFmtId="209" fontId="165" fillId="0" borderId="10" xfId="0" applyNumberFormat="1" applyFont="1" applyBorder="1" applyAlignment="1">
      <alignment vertical="center" shrinkToFit="1"/>
    </xf>
    <xf numFmtId="193" fontId="165" fillId="0" borderId="10" xfId="0" applyNumberFormat="1" applyFont="1" applyBorder="1" applyAlignment="1">
      <alignment vertical="center" shrinkToFit="1"/>
    </xf>
    <xf numFmtId="192" fontId="162" fillId="0" borderId="10" xfId="0" applyNumberFormat="1" applyFont="1" applyBorder="1" applyAlignment="1">
      <alignment vertical="center" shrinkToFit="1"/>
    </xf>
    <xf numFmtId="180" fontId="162" fillId="0" borderId="10" xfId="0" applyNumberFormat="1" applyFont="1" applyBorder="1" applyAlignment="1">
      <alignment vertical="center" shrinkToFit="1"/>
    </xf>
    <xf numFmtId="192" fontId="162" fillId="0" borderId="11" xfId="0" applyNumberFormat="1" applyFont="1" applyBorder="1" applyAlignment="1">
      <alignment vertical="center" shrinkToFit="1"/>
    </xf>
    <xf numFmtId="180" fontId="162" fillId="0" borderId="11" xfId="0" applyNumberFormat="1" applyFont="1" applyBorder="1" applyAlignment="1">
      <alignment vertical="center" shrinkToFit="1"/>
    </xf>
    <xf numFmtId="0" fontId="163" fillId="0" borderId="0" xfId="0" applyFont="1" applyAlignment="1">
      <alignment vertical="center"/>
    </xf>
    <xf numFmtId="0" fontId="172" fillId="0" borderId="0" xfId="0" applyFont="1" applyAlignment="1">
      <alignment horizontal="center" vertical="center"/>
    </xf>
    <xf numFmtId="0" fontId="157" fillId="0" borderId="0" xfId="0" applyFont="1" applyBorder="1" applyAlignment="1">
      <alignment horizontal="left" vertical="center"/>
    </xf>
    <xf numFmtId="192" fontId="154" fillId="0" borderId="18" xfId="0" applyNumberFormat="1" applyFont="1" applyBorder="1" applyAlignment="1">
      <alignment vertical="center" shrinkToFit="1"/>
    </xf>
    <xf numFmtId="43" fontId="154" fillId="0" borderId="18" xfId="0" applyNumberFormat="1" applyFont="1" applyBorder="1" applyAlignment="1">
      <alignment vertical="center" shrinkToFit="1"/>
    </xf>
    <xf numFmtId="43" fontId="155" fillId="0" borderId="11" xfId="0" applyNumberFormat="1" applyFont="1" applyBorder="1" applyAlignment="1">
      <alignment vertical="center" shrinkToFit="1"/>
    </xf>
    <xf numFmtId="192" fontId="156" fillId="0" borderId="0" xfId="0" applyNumberFormat="1" applyFont="1" applyAlignment="1">
      <alignment vertical="center"/>
    </xf>
    <xf numFmtId="192" fontId="163" fillId="0" borderId="0" xfId="0" applyNumberFormat="1" applyFont="1" applyAlignment="1">
      <alignment vertical="center"/>
    </xf>
    <xf numFmtId="0" fontId="156" fillId="0" borderId="10" xfId="0" applyFont="1" applyBorder="1" applyAlignment="1">
      <alignment vertical="center"/>
    </xf>
    <xf numFmtId="180" fontId="165" fillId="0" borderId="10" xfId="0" applyNumberFormat="1" applyFont="1" applyBorder="1" applyAlignment="1">
      <alignment vertical="center"/>
    </xf>
    <xf numFmtId="180" fontId="162" fillId="0" borderId="10" xfId="0" applyNumberFormat="1" applyFont="1" applyBorder="1" applyAlignment="1">
      <alignment vertical="center"/>
    </xf>
    <xf numFmtId="209" fontId="165" fillId="0" borderId="10" xfId="0" applyNumberFormat="1" applyFont="1" applyBorder="1" applyAlignment="1">
      <alignment vertical="center"/>
    </xf>
    <xf numFmtId="180" fontId="165" fillId="0" borderId="10" xfId="34" applyNumberFormat="1" applyFont="1" applyBorder="1" applyAlignment="1">
      <alignment vertical="center"/>
    </xf>
    <xf numFmtId="41" fontId="165" fillId="0" borderId="10" xfId="0" applyNumberFormat="1" applyFont="1" applyBorder="1" applyAlignment="1">
      <alignment vertical="center"/>
    </xf>
    <xf numFmtId="180" fontId="165" fillId="0" borderId="13" xfId="0" applyNumberFormat="1" applyFont="1" applyBorder="1" applyAlignment="1">
      <alignment vertical="center"/>
    </xf>
    <xf numFmtId="180" fontId="162" fillId="0" borderId="11" xfId="0" applyNumberFormat="1" applyFont="1" applyBorder="1" applyAlignment="1">
      <alignment vertical="center"/>
    </xf>
    <xf numFmtId="192" fontId="134" fillId="0" borderId="0" xfId="0" applyNumberFormat="1" applyFont="1" applyAlignment="1">
      <alignment vertical="center"/>
    </xf>
    <xf numFmtId="0" fontId="134" fillId="0" borderId="15" xfId="0" applyFont="1" applyBorder="1" applyAlignment="1">
      <alignment vertical="center"/>
    </xf>
    <xf numFmtId="177" fontId="135" fillId="0" borderId="10" xfId="0" applyNumberFormat="1" applyFont="1" applyBorder="1" applyAlignment="1">
      <alignment vertical="center"/>
    </xf>
    <xf numFmtId="177" fontId="161" fillId="0" borderId="0" xfId="0" applyNumberFormat="1" applyFont="1" applyAlignment="1">
      <alignment horizontal="right" vertical="center"/>
    </xf>
    <xf numFmtId="177" fontId="160" fillId="0" borderId="0" xfId="0" applyNumberFormat="1" applyFont="1" applyAlignment="1">
      <alignment horizontal="right" vertical="center"/>
    </xf>
    <xf numFmtId="177" fontId="157" fillId="0" borderId="0" xfId="0" applyNumberFormat="1" applyFont="1" applyBorder="1" applyAlignment="1">
      <alignment vertical="center"/>
    </xf>
    <xf numFmtId="0" fontId="147" fillId="0" borderId="18" xfId="0" applyFont="1" applyBorder="1" applyAlignment="1">
      <alignment vertical="center"/>
    </xf>
    <xf numFmtId="0" fontId="151" fillId="0" borderId="10" xfId="0" applyFont="1" applyBorder="1" applyAlignment="1">
      <alignment vertical="center"/>
    </xf>
    <xf numFmtId="180" fontId="165" fillId="0" borderId="10" xfId="0" applyNumberFormat="1" applyFont="1" applyFill="1" applyBorder="1" applyAlignment="1">
      <alignment vertical="center" shrinkToFit="1"/>
    </xf>
    <xf numFmtId="209" fontId="165" fillId="0" borderId="10" xfId="0" applyNumberFormat="1" applyFont="1" applyFill="1" applyBorder="1" applyAlignment="1">
      <alignment vertical="center" shrinkToFit="1"/>
    </xf>
    <xf numFmtId="0" fontId="176" fillId="0" borderId="10" xfId="0" applyFont="1" applyBorder="1" applyAlignment="1">
      <alignment vertical="center"/>
    </xf>
    <xf numFmtId="0" fontId="147" fillId="0" borderId="10" xfId="0" applyFont="1" applyBorder="1" applyAlignment="1">
      <alignment vertical="center"/>
    </xf>
    <xf numFmtId="180" fontId="162" fillId="0" borderId="10" xfId="0" applyNumberFormat="1" applyFont="1" applyFill="1" applyBorder="1" applyAlignment="1">
      <alignment vertical="center" shrinkToFit="1"/>
    </xf>
    <xf numFmtId="209" fontId="165" fillId="0" borderId="10" xfId="34" applyNumberFormat="1" applyFont="1" applyBorder="1" applyAlignment="1">
      <alignment vertical="center"/>
    </xf>
    <xf numFmtId="43" fontId="151" fillId="0" borderId="10" xfId="34" applyFont="1" applyBorder="1" applyAlignment="1">
      <alignment vertical="center"/>
    </xf>
    <xf numFmtId="209" fontId="162" fillId="0" borderId="10" xfId="0" applyNumberFormat="1" applyFont="1" applyBorder="1" applyAlignment="1">
      <alignment vertical="center" shrinkToFit="1"/>
    </xf>
    <xf numFmtId="0" fontId="147" fillId="0" borderId="11" xfId="0" applyFont="1" applyBorder="1" applyAlignment="1">
      <alignment vertical="center"/>
    </xf>
    <xf numFmtId="0" fontId="177" fillId="0" borderId="0" xfId="0" applyFont="1" applyAlignment="1">
      <alignment horizontal="center" vertical="center"/>
    </xf>
    <xf numFmtId="0" fontId="134" fillId="0" borderId="12" xfId="0" applyFont="1" applyBorder="1" applyAlignment="1">
      <alignment horizontal="distributed" vertical="center"/>
    </xf>
    <xf numFmtId="0" fontId="134" fillId="0" borderId="18" xfId="0" applyFont="1" applyBorder="1" applyAlignment="1">
      <alignment horizontal="distributed" vertical="center"/>
    </xf>
    <xf numFmtId="0" fontId="134" fillId="0" borderId="12" xfId="0" applyFont="1" applyFill="1" applyBorder="1" applyAlignment="1">
      <alignment horizontal="center" vertical="center"/>
    </xf>
    <xf numFmtId="0" fontId="134" fillId="0" borderId="18" xfId="0" applyFont="1" applyFill="1" applyBorder="1" applyAlignment="1">
      <alignment horizontal="distributed" vertical="center"/>
    </xf>
    <xf numFmtId="178" fontId="163" fillId="0" borderId="18" xfId="0" applyNumberFormat="1" applyFont="1" applyBorder="1" applyAlignment="1">
      <alignment vertical="center"/>
    </xf>
    <xf numFmtId="180" fontId="154" fillId="0" borderId="18" xfId="0" applyNumberFormat="1" applyFont="1" applyBorder="1" applyAlignment="1">
      <alignment vertical="center" shrinkToFit="1"/>
    </xf>
    <xf numFmtId="176" fontId="154" fillId="0" borderId="18" xfId="0" applyNumberFormat="1" applyFont="1" applyBorder="1" applyAlignment="1">
      <alignment vertical="center" shrinkToFit="1"/>
    </xf>
    <xf numFmtId="178" fontId="163" fillId="0" borderId="18" xfId="0" applyNumberFormat="1" applyFont="1" applyBorder="1" applyAlignment="1">
      <alignment horizontal="left" vertical="center"/>
    </xf>
    <xf numFmtId="197" fontId="154" fillId="0" borderId="18" xfId="0" applyNumberFormat="1" applyFont="1" applyBorder="1" applyAlignment="1">
      <alignment vertical="center" shrinkToFit="1"/>
    </xf>
    <xf numFmtId="178" fontId="154" fillId="0" borderId="18" xfId="0" applyNumberFormat="1" applyFont="1" applyBorder="1" applyAlignment="1">
      <alignment vertical="center" shrinkToFit="1"/>
    </xf>
    <xf numFmtId="192" fontId="154" fillId="0" borderId="18" xfId="34" applyNumberFormat="1" applyFont="1" applyBorder="1" applyAlignment="1">
      <alignment vertical="center" shrinkToFit="1"/>
    </xf>
    <xf numFmtId="177" fontId="154" fillId="0" borderId="18" xfId="0" applyNumberFormat="1" applyFont="1" applyBorder="1" applyAlignment="1">
      <alignment vertical="center" shrinkToFit="1"/>
    </xf>
    <xf numFmtId="178" fontId="147" fillId="0" borderId="10" xfId="0" applyNumberFormat="1" applyFont="1" applyBorder="1" applyAlignment="1">
      <alignment horizontal="left" vertical="center"/>
    </xf>
    <xf numFmtId="197" fontId="154" fillId="0" borderId="10" xfId="0" applyNumberFormat="1" applyFont="1" applyBorder="1" applyAlignment="1">
      <alignment vertical="center" shrinkToFit="1"/>
    </xf>
    <xf numFmtId="178" fontId="154" fillId="0" borderId="10" xfId="0" applyNumberFormat="1" applyFont="1" applyBorder="1" applyAlignment="1">
      <alignment vertical="center" shrinkToFit="1"/>
    </xf>
    <xf numFmtId="192" fontId="154" fillId="0" borderId="10" xfId="34" applyNumberFormat="1" applyFont="1" applyBorder="1" applyAlignment="1">
      <alignment vertical="center" shrinkToFit="1"/>
    </xf>
    <xf numFmtId="177" fontId="154" fillId="0" borderId="10" xfId="0" applyNumberFormat="1" applyFont="1" applyBorder="1" applyAlignment="1">
      <alignment vertical="center" shrinkToFit="1"/>
    </xf>
    <xf numFmtId="197" fontId="155" fillId="0" borderId="10" xfId="0" applyNumberFormat="1" applyFont="1" applyBorder="1" applyAlignment="1">
      <alignment vertical="center" shrinkToFit="1"/>
    </xf>
    <xf numFmtId="178" fontId="155" fillId="0" borderId="10" xfId="0" applyNumberFormat="1" applyFont="1" applyBorder="1" applyAlignment="1">
      <alignment vertical="center" shrinkToFit="1"/>
    </xf>
    <xf numFmtId="177" fontId="155" fillId="0" borderId="10" xfId="0" applyNumberFormat="1" applyFont="1" applyBorder="1" applyAlignment="1">
      <alignment vertical="center" shrinkToFit="1"/>
    </xf>
    <xf numFmtId="192" fontId="155" fillId="0" borderId="10" xfId="34" applyNumberFormat="1" applyFont="1" applyBorder="1" applyAlignment="1">
      <alignment vertical="center"/>
    </xf>
    <xf numFmtId="178" fontId="178" fillId="0" borderId="10" xfId="0" applyNumberFormat="1" applyFont="1" applyBorder="1" applyAlignment="1">
      <alignment vertical="center" wrapText="1"/>
    </xf>
    <xf numFmtId="178" fontId="148" fillId="0" borderId="10" xfId="0" applyNumberFormat="1" applyFont="1" applyBorder="1" applyAlignment="1">
      <alignment vertical="center"/>
    </xf>
    <xf numFmtId="178" fontId="136" fillId="0" borderId="10" xfId="0" applyNumberFormat="1" applyFont="1" applyBorder="1" applyAlignment="1">
      <alignment horizontal="left" vertical="center"/>
    </xf>
    <xf numFmtId="192" fontId="155" fillId="0" borderId="10" xfId="34" applyNumberFormat="1" applyFont="1" applyBorder="1" applyAlignment="1">
      <alignment vertical="center" shrinkToFit="1"/>
    </xf>
    <xf numFmtId="178" fontId="163" fillId="0" borderId="10" xfId="0" applyNumberFormat="1" applyFont="1" applyBorder="1" applyAlignment="1">
      <alignment horizontal="left" vertical="center"/>
    </xf>
    <xf numFmtId="178" fontId="152" fillId="0" borderId="10" xfId="0" applyNumberFormat="1" applyFont="1" applyBorder="1" applyAlignment="1">
      <alignment vertical="center"/>
    </xf>
    <xf numFmtId="178" fontId="152" fillId="0" borderId="10" xfId="0" applyNumberFormat="1" applyFont="1" applyFill="1" applyBorder="1" applyAlignment="1">
      <alignment vertical="center"/>
    </xf>
    <xf numFmtId="178" fontId="179" fillId="0" borderId="10" xfId="0" applyNumberFormat="1" applyFont="1" applyBorder="1" applyAlignment="1">
      <alignment horizontal="left" vertical="center" wrapText="1"/>
    </xf>
    <xf numFmtId="214" fontId="155" fillId="0" borderId="10" xfId="0" applyNumberFormat="1" applyFont="1" applyBorder="1" applyAlignment="1">
      <alignment vertical="center" shrinkToFit="1"/>
    </xf>
    <xf numFmtId="176" fontId="155" fillId="0" borderId="11" xfId="0" applyNumberFormat="1" applyFont="1" applyBorder="1" applyAlignment="1">
      <alignment vertical="center" shrinkToFit="1"/>
    </xf>
    <xf numFmtId="0" fontId="176" fillId="0" borderId="11" xfId="0" applyFont="1" applyBorder="1" applyAlignment="1">
      <alignment vertical="center" wrapText="1"/>
    </xf>
    <xf numFmtId="197" fontId="154" fillId="0" borderId="11" xfId="0" applyNumberFormat="1" applyFont="1" applyBorder="1" applyAlignment="1">
      <alignment vertical="center" shrinkToFit="1"/>
    </xf>
    <xf numFmtId="178" fontId="154" fillId="0" borderId="11" xfId="0" applyNumberFormat="1" applyFont="1" applyBorder="1" applyAlignment="1">
      <alignment vertical="center" shrinkToFit="1"/>
    </xf>
    <xf numFmtId="192" fontId="154" fillId="0" borderId="11" xfId="34" applyNumberFormat="1" applyFont="1" applyBorder="1" applyAlignment="1">
      <alignment vertical="center" shrinkToFit="1"/>
    </xf>
    <xf numFmtId="177" fontId="154" fillId="0" borderId="11" xfId="0" applyNumberFormat="1" applyFont="1" applyBorder="1" applyAlignment="1">
      <alignment vertical="center" shrinkToFit="1"/>
    </xf>
    <xf numFmtId="0" fontId="171" fillId="0" borderId="0" xfId="0" applyFont="1" applyAlignment="1">
      <alignment horizontal="center" vertical="center"/>
    </xf>
    <xf numFmtId="49" fontId="157" fillId="0" borderId="0" xfId="0" applyNumberFormat="1" applyFont="1" applyBorder="1" applyAlignment="1">
      <alignment horizontal="left" vertical="center"/>
    </xf>
    <xf numFmtId="0" fontId="157" fillId="0" borderId="0" xfId="0" applyFont="1" applyBorder="1" applyAlignment="1">
      <alignment horizontal="center" vertical="center"/>
    </xf>
    <xf numFmtId="178" fontId="180" fillId="0" borderId="10" xfId="0" applyNumberFormat="1" applyFont="1" applyBorder="1" applyAlignment="1">
      <alignment vertical="center"/>
    </xf>
    <xf numFmtId="178" fontId="170" fillId="0" borderId="10" xfId="0" applyNumberFormat="1" applyFont="1" applyBorder="1" applyAlignment="1">
      <alignment horizontal="left" vertical="center" indent="2"/>
    </xf>
    <xf numFmtId="178" fontId="181" fillId="0" borderId="10" xfId="0" applyNumberFormat="1" applyFont="1" applyBorder="1" applyAlignment="1">
      <alignment vertical="center"/>
    </xf>
    <xf numFmtId="178" fontId="134" fillId="0" borderId="10" xfId="0" applyNumberFormat="1" applyFont="1" applyBorder="1" applyAlignment="1">
      <alignment vertical="center"/>
    </xf>
    <xf numFmtId="178" fontId="134" fillId="0" borderId="10" xfId="0" applyNumberFormat="1" applyFont="1" applyBorder="1" applyAlignment="1">
      <alignment horizontal="left" vertical="center" indent="2"/>
    </xf>
    <xf numFmtId="178" fontId="182" fillId="0" borderId="11" xfId="0" applyNumberFormat="1" applyFont="1" applyBorder="1" applyAlignment="1">
      <alignment vertical="center"/>
    </xf>
    <xf numFmtId="178" fontId="183" fillId="0" borderId="10" xfId="0" applyNumberFormat="1" applyFont="1" applyBorder="1" applyAlignment="1">
      <alignment vertical="center"/>
    </xf>
    <xf numFmtId="177" fontId="162" fillId="0" borderId="10" xfId="0" applyNumberFormat="1" applyFont="1" applyBorder="1" applyAlignment="1">
      <alignment vertical="center" shrinkToFit="1"/>
    </xf>
    <xf numFmtId="177" fontId="165" fillId="0" borderId="10" xfId="0" applyNumberFormat="1" applyFont="1" applyBorder="1" applyAlignment="1">
      <alignment vertical="center" shrinkToFit="1"/>
    </xf>
    <xf numFmtId="208" fontId="162" fillId="0" borderId="10" xfId="0" applyNumberFormat="1" applyFont="1" applyBorder="1" applyAlignment="1">
      <alignment vertical="center" shrinkToFit="1"/>
    </xf>
    <xf numFmtId="208" fontId="165" fillId="0" borderId="10" xfId="0" applyNumberFormat="1" applyFont="1" applyBorder="1" applyAlignment="1">
      <alignment vertical="center" shrinkToFit="1"/>
    </xf>
    <xf numFmtId="176" fontId="162" fillId="0" borderId="10" xfId="0" applyNumberFormat="1" applyFont="1" applyBorder="1" applyAlignment="1">
      <alignment vertical="center" shrinkToFit="1"/>
    </xf>
    <xf numFmtId="41" fontId="162" fillId="0" borderId="10" xfId="0" applyNumberFormat="1" applyFont="1" applyBorder="1" applyAlignment="1">
      <alignment vertical="center" shrinkToFit="1"/>
    </xf>
    <xf numFmtId="176" fontId="165" fillId="0" borderId="10" xfId="0" applyNumberFormat="1" applyFont="1" applyBorder="1" applyAlignment="1">
      <alignment vertical="center" shrinkToFit="1"/>
    </xf>
    <xf numFmtId="178" fontId="151" fillId="0" borderId="10" xfId="0" applyNumberFormat="1" applyFont="1" applyBorder="1" applyAlignment="1">
      <alignment horizontal="left" vertical="center" wrapText="1" indent="2"/>
    </xf>
    <xf numFmtId="177" fontId="162" fillId="0" borderId="11" xfId="0" applyNumberFormat="1" applyFont="1" applyBorder="1" applyAlignment="1">
      <alignment vertical="center" shrinkToFit="1"/>
    </xf>
    <xf numFmtId="0" fontId="169" fillId="0" borderId="0" xfId="0" applyFont="1" applyAlignment="1">
      <alignment horizontal="center"/>
    </xf>
    <xf numFmtId="0" fontId="160" fillId="0" borderId="0" xfId="0" applyFont="1" applyAlignment="1">
      <alignment/>
    </xf>
    <xf numFmtId="0" fontId="161" fillId="0" borderId="0" xfId="0" applyFont="1" applyAlignment="1">
      <alignment horizontal="right"/>
    </xf>
    <xf numFmtId="0" fontId="161" fillId="0" borderId="0" xfId="0" applyFont="1" applyAlignment="1">
      <alignment horizontal="left"/>
    </xf>
    <xf numFmtId="0" fontId="157" fillId="0" borderId="0" xfId="0" applyFont="1" applyAlignment="1">
      <alignment horizontal="center"/>
    </xf>
    <xf numFmtId="0" fontId="184" fillId="0" borderId="0" xfId="0" applyFont="1" applyAlignment="1">
      <alignment/>
    </xf>
    <xf numFmtId="0" fontId="161" fillId="0" borderId="0" xfId="0" applyFont="1" applyAlignment="1">
      <alignment/>
    </xf>
    <xf numFmtId="0" fontId="134" fillId="0" borderId="0" xfId="0" applyFont="1" applyAlignment="1">
      <alignment horizontal="right" indent="13"/>
    </xf>
    <xf numFmtId="0" fontId="157" fillId="0" borderId="0" xfId="0" applyFont="1" applyAlignment="1">
      <alignment horizontal="right"/>
    </xf>
    <xf numFmtId="0" fontId="157" fillId="0" borderId="0" xfId="0" applyFont="1" applyAlignment="1">
      <alignment/>
    </xf>
    <xf numFmtId="0" fontId="145" fillId="0" borderId="12" xfId="0" applyFont="1" applyBorder="1" applyAlignment="1">
      <alignment horizontal="distributed" wrapText="1"/>
    </xf>
    <xf numFmtId="180" fontId="164" fillId="0" borderId="18" xfId="0" applyNumberFormat="1" applyFont="1" applyBorder="1" applyAlignment="1">
      <alignment wrapText="1"/>
    </xf>
    <xf numFmtId="180" fontId="149" fillId="0" borderId="18" xfId="0" applyNumberFormat="1" applyFont="1" applyBorder="1" applyAlignment="1">
      <alignment wrapText="1"/>
    </xf>
    <xf numFmtId="0" fontId="185" fillId="0" borderId="18" xfId="0" applyFont="1" applyFill="1" applyBorder="1" applyAlignment="1">
      <alignment horizontal="justify" wrapText="1"/>
    </xf>
    <xf numFmtId="0" fontId="185" fillId="0" borderId="18" xfId="0" applyFont="1" applyFill="1" applyBorder="1" applyAlignment="1">
      <alignment horizontal="center" wrapText="1"/>
    </xf>
    <xf numFmtId="176" fontId="149" fillId="0" borderId="18" xfId="0" applyNumberFormat="1" applyFont="1" applyBorder="1" applyAlignment="1">
      <alignment wrapText="1"/>
    </xf>
    <xf numFmtId="176" fontId="164" fillId="0" borderId="18" xfId="0" applyNumberFormat="1" applyFont="1" applyBorder="1" applyAlignment="1">
      <alignment wrapText="1"/>
    </xf>
    <xf numFmtId="180" fontId="166" fillId="0" borderId="10" xfId="0" applyNumberFormat="1" applyFont="1" applyBorder="1" applyAlignment="1">
      <alignment wrapText="1"/>
    </xf>
    <xf numFmtId="180" fontId="146" fillId="0" borderId="10" xfId="0" applyNumberFormat="1" applyFont="1" applyBorder="1" applyAlignment="1">
      <alignment wrapText="1"/>
    </xf>
    <xf numFmtId="0" fontId="145" fillId="0" borderId="10" xfId="0" applyFont="1" applyFill="1" applyBorder="1" applyAlignment="1">
      <alignment horizontal="justify" wrapText="1"/>
    </xf>
    <xf numFmtId="0" fontId="145" fillId="0" borderId="10" xfId="0" applyFont="1" applyFill="1" applyBorder="1" applyAlignment="1">
      <alignment horizontal="center" wrapText="1"/>
    </xf>
    <xf numFmtId="176" fontId="166" fillId="0" borderId="10" xfId="0" applyNumberFormat="1" applyFont="1" applyBorder="1" applyAlignment="1">
      <alignment wrapText="1"/>
    </xf>
    <xf numFmtId="180" fontId="164" fillId="0" borderId="10" xfId="0" applyNumberFormat="1" applyFont="1" applyBorder="1" applyAlignment="1">
      <alignment wrapText="1"/>
    </xf>
    <xf numFmtId="0" fontId="185" fillId="0" borderId="10" xfId="0" applyFont="1" applyFill="1" applyBorder="1" applyAlignment="1">
      <alignment horizontal="justify" wrapText="1"/>
    </xf>
    <xf numFmtId="0" fontId="185" fillId="0" borderId="10" xfId="0" applyFont="1" applyFill="1" applyBorder="1" applyAlignment="1">
      <alignment horizontal="center" wrapText="1"/>
    </xf>
    <xf numFmtId="176" fontId="164" fillId="0" borderId="10" xfId="0" applyNumberFormat="1" applyFont="1" applyBorder="1" applyAlignment="1">
      <alignment wrapText="1"/>
    </xf>
    <xf numFmtId="43" fontId="166" fillId="0" borderId="10" xfId="0" applyNumberFormat="1" applyFont="1" applyBorder="1" applyAlignment="1">
      <alignment wrapText="1"/>
    </xf>
    <xf numFmtId="192" fontId="164" fillId="0" borderId="10" xfId="0" applyNumberFormat="1" applyFont="1" applyBorder="1" applyAlignment="1">
      <alignment wrapText="1"/>
    </xf>
    <xf numFmtId="180" fontId="164" fillId="0" borderId="10" xfId="0" applyNumberFormat="1" applyFont="1" applyBorder="1" applyAlignment="1">
      <alignment horizontal="right" wrapText="1"/>
    </xf>
    <xf numFmtId="209" fontId="164" fillId="0" borderId="10" xfId="0" applyNumberFormat="1" applyFont="1" applyBorder="1" applyAlignment="1">
      <alignment wrapText="1"/>
    </xf>
    <xf numFmtId="43" fontId="164" fillId="0" borderId="10" xfId="0" applyNumberFormat="1" applyFont="1" applyBorder="1" applyAlignment="1">
      <alignment wrapText="1"/>
    </xf>
    <xf numFmtId="192" fontId="166" fillId="0" borderId="10" xfId="0" applyNumberFormat="1" applyFont="1" applyBorder="1" applyAlignment="1">
      <alignment wrapText="1"/>
    </xf>
    <xf numFmtId="180" fontId="166" fillId="0" borderId="10" xfId="0" applyNumberFormat="1" applyFont="1" applyFill="1" applyBorder="1" applyAlignment="1">
      <alignment horizontal="right" wrapText="1"/>
    </xf>
    <xf numFmtId="209" fontId="166" fillId="0" borderId="10" xfId="0" applyNumberFormat="1" applyFont="1" applyBorder="1" applyAlignment="1">
      <alignment wrapText="1"/>
    </xf>
    <xf numFmtId="180" fontId="166" fillId="0" borderId="10" xfId="0" applyNumberFormat="1" applyFont="1" applyFill="1" applyBorder="1" applyAlignment="1">
      <alignment wrapText="1"/>
    </xf>
    <xf numFmtId="0" fontId="185" fillId="0" borderId="10" xfId="0" applyFont="1" applyBorder="1" applyAlignment="1">
      <alignment horizontal="justify" wrapText="1"/>
    </xf>
    <xf numFmtId="0" fontId="145" fillId="0" borderId="10" xfId="0" applyFont="1" applyBorder="1" applyAlignment="1">
      <alignment wrapText="1"/>
    </xf>
    <xf numFmtId="0" fontId="148" fillId="0" borderId="10" xfId="0" applyFont="1" applyFill="1" applyBorder="1" applyAlignment="1">
      <alignment horizontal="center" wrapText="1"/>
    </xf>
    <xf numFmtId="192" fontId="166" fillId="0" borderId="11" xfId="0" applyNumberFormat="1" applyFont="1" applyBorder="1" applyAlignment="1">
      <alignment wrapText="1"/>
    </xf>
    <xf numFmtId="180" fontId="166" fillId="0" borderId="11" xfId="0" applyNumberFormat="1" applyFont="1" applyBorder="1" applyAlignment="1">
      <alignment wrapText="1"/>
    </xf>
    <xf numFmtId="0" fontId="145" fillId="0" borderId="11" xfId="0" applyFont="1" applyBorder="1" applyAlignment="1">
      <alignment wrapText="1"/>
    </xf>
    <xf numFmtId="0" fontId="148" fillId="0" borderId="11" xfId="0" applyFont="1" applyFill="1" applyBorder="1" applyAlignment="1">
      <alignment horizontal="center" wrapText="1"/>
    </xf>
    <xf numFmtId="43" fontId="166" fillId="0" borderId="11" xfId="0" applyNumberFormat="1" applyFont="1" applyBorder="1" applyAlignment="1">
      <alignment wrapText="1"/>
    </xf>
    <xf numFmtId="0" fontId="134" fillId="0" borderId="21" xfId="0" applyFont="1" applyBorder="1" applyAlignment="1">
      <alignment horizontal="left"/>
    </xf>
    <xf numFmtId="0" fontId="134" fillId="35" borderId="0" xfId="0" applyFont="1" applyFill="1" applyAlignment="1">
      <alignment/>
    </xf>
    <xf numFmtId="0" fontId="134" fillId="33" borderId="0" xfId="0" applyFont="1" applyFill="1" applyAlignment="1">
      <alignment/>
    </xf>
    <xf numFmtId="0" fontId="145" fillId="0" borderId="12" xfId="0" applyFont="1" applyFill="1" applyBorder="1" applyAlignment="1">
      <alignment horizontal="distributed" vertical="distributed" wrapText="1"/>
    </xf>
    <xf numFmtId="0" fontId="134" fillId="0" borderId="12" xfId="0" applyFont="1" applyFill="1" applyBorder="1" applyAlignment="1">
      <alignment horizontal="distributed" vertical="distributed" wrapText="1"/>
    </xf>
    <xf numFmtId="180" fontId="135" fillId="0" borderId="18" xfId="0" applyNumberFormat="1" applyFont="1" applyFill="1" applyBorder="1" applyAlignment="1">
      <alignment horizontal="right" wrapText="1"/>
    </xf>
    <xf numFmtId="176" fontId="135" fillId="0" borderId="10" xfId="0" applyNumberFormat="1" applyFont="1" applyFill="1" applyBorder="1" applyAlignment="1">
      <alignment horizontal="right" wrapText="1"/>
    </xf>
    <xf numFmtId="0" fontId="134" fillId="0" borderId="10" xfId="0" applyFont="1" applyFill="1" applyBorder="1" applyAlignment="1">
      <alignment horizontal="justify" wrapText="1"/>
    </xf>
    <xf numFmtId="176" fontId="135" fillId="0" borderId="18" xfId="0" applyNumberFormat="1" applyFont="1" applyFill="1" applyBorder="1" applyAlignment="1">
      <alignment horizontal="right" wrapText="1"/>
    </xf>
    <xf numFmtId="180" fontId="146" fillId="0" borderId="0" xfId="0" applyNumberFormat="1" applyFont="1" applyAlignment="1">
      <alignment/>
    </xf>
    <xf numFmtId="180" fontId="135" fillId="0" borderId="10" xfId="0" applyNumberFormat="1" applyFont="1" applyBorder="1" applyAlignment="1">
      <alignment horizontal="right" wrapText="1"/>
    </xf>
    <xf numFmtId="176" fontId="135" fillId="0" borderId="10" xfId="0" applyNumberFormat="1" applyFont="1" applyBorder="1" applyAlignment="1">
      <alignment horizontal="right" wrapText="1"/>
    </xf>
    <xf numFmtId="176" fontId="146" fillId="0" borderId="10" xfId="0" applyNumberFormat="1" applyFont="1" applyBorder="1" applyAlignment="1">
      <alignment horizontal="right" wrapText="1"/>
    </xf>
    <xf numFmtId="180" fontId="135" fillId="0" borderId="10" xfId="0" applyNumberFormat="1" applyFont="1" applyFill="1" applyBorder="1" applyAlignment="1">
      <alignment horizontal="right" wrapText="1"/>
    </xf>
    <xf numFmtId="176" fontId="166" fillId="0" borderId="10" xfId="0" applyNumberFormat="1" applyFont="1" applyBorder="1" applyAlignment="1">
      <alignment horizontal="right" wrapText="1"/>
    </xf>
    <xf numFmtId="180" fontId="186" fillId="0" borderId="10" xfId="0" applyNumberFormat="1" applyFont="1" applyBorder="1" applyAlignment="1">
      <alignment wrapText="1"/>
    </xf>
    <xf numFmtId="0" fontId="134" fillId="0" borderId="10" xfId="0" applyFont="1" applyBorder="1" applyAlignment="1">
      <alignment horizontal="right" wrapText="1"/>
    </xf>
    <xf numFmtId="0" fontId="134" fillId="0" borderId="10" xfId="0" applyFont="1" applyBorder="1" applyAlignment="1">
      <alignment horizontal="justify" wrapText="1"/>
    </xf>
    <xf numFmtId="180" fontId="134" fillId="0" borderId="10" xfId="0" applyNumberFormat="1" applyFont="1" applyBorder="1" applyAlignment="1">
      <alignment horizontal="justify" wrapText="1"/>
    </xf>
    <xf numFmtId="0" fontId="134" fillId="0" borderId="10" xfId="0" applyFont="1" applyBorder="1" applyAlignment="1">
      <alignment horizontal="center" vertical="top" wrapText="1"/>
    </xf>
    <xf numFmtId="180" fontId="146" fillId="0" borderId="0" xfId="0" applyNumberFormat="1" applyFont="1" applyFill="1" applyAlignment="1">
      <alignment/>
    </xf>
    <xf numFmtId="180" fontId="156" fillId="0" borderId="10" xfId="0" applyNumberFormat="1" applyFont="1" applyBorder="1" applyAlignment="1">
      <alignment wrapText="1"/>
    </xf>
    <xf numFmtId="176" fontId="146" fillId="0" borderId="0" xfId="0" applyNumberFormat="1" applyFont="1" applyFill="1" applyAlignment="1">
      <alignment/>
    </xf>
    <xf numFmtId="180" fontId="149" fillId="0" borderId="11" xfId="0" applyNumberFormat="1" applyFont="1" applyBorder="1" applyAlignment="1">
      <alignment wrapText="1"/>
    </xf>
    <xf numFmtId="177" fontId="149" fillId="0" borderId="11" xfId="0" applyNumberFormat="1" applyFont="1" applyBorder="1" applyAlignment="1">
      <alignment horizontal="right" wrapText="1"/>
    </xf>
    <xf numFmtId="0" fontId="147" fillId="0" borderId="11" xfId="0" applyFont="1" applyBorder="1" applyAlignment="1">
      <alignment horizontal="distributed" wrapText="1"/>
    </xf>
    <xf numFmtId="177" fontId="149" fillId="0" borderId="11" xfId="0" applyNumberFormat="1" applyFont="1" applyBorder="1" applyAlignment="1">
      <alignment wrapText="1"/>
    </xf>
    <xf numFmtId="176" fontId="146" fillId="0" borderId="10" xfId="0" applyNumberFormat="1" applyFont="1" applyFill="1" applyBorder="1" applyAlignment="1">
      <alignment horizontal="right" wrapText="1"/>
    </xf>
    <xf numFmtId="180" fontId="187" fillId="0" borderId="10" xfId="0" applyNumberFormat="1" applyFont="1" applyBorder="1" applyAlignment="1">
      <alignment horizontal="right" wrapText="1"/>
    </xf>
    <xf numFmtId="0" fontId="145" fillId="0" borderId="10" xfId="0" applyFont="1" applyBorder="1" applyAlignment="1">
      <alignment horizontal="right" wrapText="1"/>
    </xf>
    <xf numFmtId="180" fontId="188" fillId="0" borderId="10" xfId="0" applyNumberFormat="1" applyFont="1" applyBorder="1" applyAlignment="1">
      <alignment horizontal="right" wrapText="1"/>
    </xf>
    <xf numFmtId="0" fontId="136" fillId="0" borderId="10" xfId="0" applyFont="1" applyBorder="1" applyAlignment="1">
      <alignment horizontal="right" wrapText="1"/>
    </xf>
    <xf numFmtId="180" fontId="189" fillId="0" borderId="11" xfId="0" applyNumberFormat="1" applyFont="1" applyBorder="1" applyAlignment="1">
      <alignment horizontal="right" wrapText="1"/>
    </xf>
    <xf numFmtId="176" fontId="189" fillId="0" borderId="11" xfId="0" applyNumberFormat="1" applyFont="1" applyBorder="1" applyAlignment="1">
      <alignment horizontal="right" wrapText="1"/>
    </xf>
    <xf numFmtId="176" fontId="147" fillId="0" borderId="11" xfId="0" applyNumberFormat="1" applyFont="1" applyBorder="1" applyAlignment="1">
      <alignment horizontal="distributed" wrapText="1"/>
    </xf>
    <xf numFmtId="180" fontId="189" fillId="0" borderId="11" xfId="0" applyNumberFormat="1" applyFont="1" applyBorder="1" applyAlignment="1">
      <alignment wrapText="1"/>
    </xf>
    <xf numFmtId="176" fontId="189" fillId="0" borderId="11" xfId="0" applyNumberFormat="1" applyFont="1" applyBorder="1" applyAlignment="1">
      <alignment wrapText="1"/>
    </xf>
    <xf numFmtId="177" fontId="189" fillId="0" borderId="11" xfId="0" applyNumberFormat="1" applyFont="1" applyBorder="1" applyAlignment="1">
      <alignment wrapText="1"/>
    </xf>
    <xf numFmtId="0" fontId="160" fillId="0" borderId="0" xfId="0" applyFont="1" applyAlignment="1">
      <alignment horizontal="right"/>
    </xf>
    <xf numFmtId="0" fontId="160" fillId="0" borderId="0" xfId="0" applyFont="1" applyAlignment="1">
      <alignment horizontal="left"/>
    </xf>
    <xf numFmtId="0" fontId="134" fillId="0" borderId="0" xfId="0" applyFont="1" applyAlignment="1">
      <alignment horizontal="left" indent="15"/>
    </xf>
    <xf numFmtId="0" fontId="134" fillId="0" borderId="12" xfId="0" applyFont="1" applyBorder="1" applyAlignment="1">
      <alignment horizontal="distributed" vertical="distributed" wrapText="1"/>
    </xf>
    <xf numFmtId="0" fontId="145" fillId="0" borderId="12" xfId="0" applyFont="1" applyBorder="1" applyAlignment="1">
      <alignment horizontal="distributed" vertical="distributed" wrapText="1"/>
    </xf>
    <xf numFmtId="0" fontId="134" fillId="0" borderId="18" xfId="0" applyFont="1" applyBorder="1" applyAlignment="1">
      <alignment horizontal="distributed" vertical="distributed" wrapText="1"/>
    </xf>
    <xf numFmtId="41" fontId="165" fillId="0" borderId="18" xfId="0" applyNumberFormat="1" applyFont="1" applyBorder="1" applyAlignment="1">
      <alignment/>
    </xf>
    <xf numFmtId="180" fontId="165" fillId="0" borderId="18" xfId="0" applyNumberFormat="1" applyFont="1" applyBorder="1" applyAlignment="1">
      <alignment/>
    </xf>
    <xf numFmtId="180" fontId="134" fillId="0" borderId="10" xfId="0" applyNumberFormat="1" applyFont="1" applyFill="1" applyBorder="1" applyAlignment="1">
      <alignment horizontal="justify" wrapText="1"/>
    </xf>
    <xf numFmtId="180" fontId="165" fillId="0" borderId="18" xfId="0" applyNumberFormat="1" applyFont="1" applyBorder="1" applyAlignment="1">
      <alignment vertical="center"/>
    </xf>
    <xf numFmtId="41" fontId="165" fillId="0" borderId="18" xfId="0" applyNumberFormat="1" applyFont="1" applyBorder="1" applyAlignment="1">
      <alignment vertical="center"/>
    </xf>
    <xf numFmtId="41" fontId="165" fillId="0" borderId="10" xfId="0" applyNumberFormat="1" applyFont="1" applyBorder="1" applyAlignment="1">
      <alignment/>
    </xf>
    <xf numFmtId="180" fontId="134" fillId="0" borderId="10" xfId="0" applyNumberFormat="1" applyFont="1" applyBorder="1" applyAlignment="1">
      <alignment horizontal="justify" vertical="center" wrapText="1"/>
    </xf>
    <xf numFmtId="196" fontId="165" fillId="0" borderId="10" xfId="0" applyNumberFormat="1" applyFont="1" applyBorder="1" applyAlignment="1">
      <alignment horizontal="right" vertical="center"/>
    </xf>
    <xf numFmtId="180" fontId="165" fillId="0" borderId="10" xfId="0" applyNumberFormat="1" applyFont="1" applyFill="1" applyBorder="1" applyAlignment="1">
      <alignment vertical="center"/>
    </xf>
    <xf numFmtId="41" fontId="165" fillId="0" borderId="10" xfId="0" applyNumberFormat="1" applyFont="1" applyFill="1" applyBorder="1" applyAlignment="1">
      <alignment vertical="center"/>
    </xf>
    <xf numFmtId="43" fontId="165" fillId="0" borderId="10" xfId="0" applyNumberFormat="1" applyFont="1" applyBorder="1" applyAlignment="1">
      <alignment vertical="center"/>
    </xf>
    <xf numFmtId="193" fontId="165" fillId="0" borderId="10" xfId="0" applyNumberFormat="1" applyFont="1" applyBorder="1" applyAlignment="1">
      <alignment horizontal="right" vertical="center"/>
    </xf>
    <xf numFmtId="41" fontId="165" fillId="0" borderId="10" xfId="0" applyNumberFormat="1" applyFont="1" applyBorder="1" applyAlignment="1">
      <alignment horizontal="right" vertical="center"/>
    </xf>
    <xf numFmtId="41" fontId="165" fillId="36" borderId="10" xfId="0" applyNumberFormat="1" applyFont="1" applyFill="1" applyBorder="1" applyAlignment="1">
      <alignment vertical="center"/>
    </xf>
    <xf numFmtId="41" fontId="165" fillId="36" borderId="10" xfId="0" applyNumberFormat="1" applyFont="1" applyFill="1" applyBorder="1" applyAlignment="1">
      <alignment/>
    </xf>
    <xf numFmtId="0" fontId="165" fillId="0" borderId="10" xfId="0" applyFont="1" applyBorder="1" applyAlignment="1">
      <alignment/>
    </xf>
    <xf numFmtId="41" fontId="134" fillId="0" borderId="10" xfId="0" applyNumberFormat="1" applyFont="1" applyBorder="1" applyAlignment="1">
      <alignment/>
    </xf>
    <xf numFmtId="0" fontId="134" fillId="0" borderId="10" xfId="0" applyFont="1" applyBorder="1" applyAlignment="1">
      <alignment/>
    </xf>
    <xf numFmtId="41" fontId="165" fillId="0" borderId="11" xfId="0" applyNumberFormat="1" applyFont="1" applyBorder="1" applyAlignment="1">
      <alignment/>
    </xf>
    <xf numFmtId="0" fontId="134" fillId="0" borderId="11" xfId="0" applyFont="1" applyBorder="1" applyAlignment="1">
      <alignment horizontal="distributed"/>
    </xf>
    <xf numFmtId="41" fontId="155" fillId="0" borderId="11" xfId="0" applyNumberFormat="1" applyFont="1" applyBorder="1" applyAlignment="1">
      <alignment/>
    </xf>
    <xf numFmtId="41" fontId="135" fillId="0" borderId="11" xfId="0" applyNumberFormat="1" applyFont="1" applyBorder="1" applyAlignment="1">
      <alignment/>
    </xf>
    <xf numFmtId="0" fontId="145" fillId="0" borderId="0" xfId="0" applyFont="1" applyAlignment="1">
      <alignment/>
    </xf>
    <xf numFmtId="41" fontId="146" fillId="0" borderId="18" xfId="0" applyNumberFormat="1" applyFont="1" applyBorder="1" applyAlignment="1">
      <alignment/>
    </xf>
    <xf numFmtId="0" fontId="145" fillId="0" borderId="10" xfId="0" applyFont="1" applyBorder="1" applyAlignment="1">
      <alignment horizontal="left" wrapText="1"/>
    </xf>
    <xf numFmtId="192" fontId="146" fillId="0" borderId="18" xfId="0" applyNumberFormat="1" applyFont="1" applyBorder="1" applyAlignment="1">
      <alignment/>
    </xf>
    <xf numFmtId="192" fontId="165" fillId="0" borderId="0" xfId="34" applyNumberFormat="1" applyFont="1" applyAlignment="1">
      <alignment/>
    </xf>
    <xf numFmtId="192" fontId="146" fillId="0" borderId="10" xfId="0" applyNumberFormat="1" applyFont="1" applyBorder="1" applyAlignment="1">
      <alignment/>
    </xf>
    <xf numFmtId="41" fontId="146" fillId="0" borderId="10" xfId="0" applyNumberFormat="1" applyFont="1" applyBorder="1" applyAlignment="1">
      <alignment/>
    </xf>
    <xf numFmtId="0" fontId="146" fillId="0" borderId="10" xfId="0" applyFont="1" applyBorder="1" applyAlignment="1">
      <alignment/>
    </xf>
    <xf numFmtId="41" fontId="146" fillId="0" borderId="11" xfId="0" applyNumberFormat="1" applyFont="1" applyBorder="1" applyAlignment="1">
      <alignment/>
    </xf>
    <xf numFmtId="192" fontId="146" fillId="0" borderId="11" xfId="0" applyNumberFormat="1" applyFont="1" applyBorder="1" applyAlignment="1">
      <alignment/>
    </xf>
    <xf numFmtId="0" fontId="134" fillId="0" borderId="0" xfId="0" applyFont="1" applyAlignment="1">
      <alignment wrapText="1"/>
    </xf>
    <xf numFmtId="41" fontId="134" fillId="0" borderId="18" xfId="0" applyNumberFormat="1" applyFont="1" applyBorder="1" applyAlignment="1">
      <alignment/>
    </xf>
    <xf numFmtId="192" fontId="146" fillId="0" borderId="10" xfId="0" applyNumberFormat="1" applyFont="1" applyFill="1" applyBorder="1" applyAlignment="1">
      <alignment/>
    </xf>
    <xf numFmtId="192" fontId="165" fillId="0" borderId="0" xfId="34" applyNumberFormat="1" applyFont="1" applyFill="1" applyAlignment="1">
      <alignment/>
    </xf>
    <xf numFmtId="41" fontId="134" fillId="0" borderId="11" xfId="0" applyNumberFormat="1" applyFont="1" applyBorder="1" applyAlignment="1">
      <alignment/>
    </xf>
    <xf numFmtId="192" fontId="155" fillId="0" borderId="10" xfId="0" applyNumberFormat="1" applyFont="1" applyFill="1" applyBorder="1" applyAlignment="1">
      <alignment horizontal="right" vertical="center" wrapText="1"/>
    </xf>
    <xf numFmtId="180" fontId="155" fillId="0" borderId="10" xfId="0" applyNumberFormat="1" applyFont="1" applyFill="1" applyBorder="1" applyAlignment="1">
      <alignment horizontal="right" vertical="center" wrapText="1"/>
    </xf>
    <xf numFmtId="0" fontId="134" fillId="0" borderId="0" xfId="0" applyFont="1" applyFill="1" applyAlignment="1">
      <alignment/>
    </xf>
    <xf numFmtId="0" fontId="134" fillId="0" borderId="10" xfId="0" applyFont="1" applyBorder="1" applyAlignment="1">
      <alignment horizontal="justify" vertical="center" wrapText="1"/>
    </xf>
    <xf numFmtId="192" fontId="155" fillId="0" borderId="10" xfId="0" applyNumberFormat="1" applyFont="1" applyBorder="1" applyAlignment="1">
      <alignment horizontal="right" vertical="center" wrapText="1"/>
    </xf>
    <xf numFmtId="180" fontId="155" fillId="0" borderId="10" xfId="0" applyNumberFormat="1" applyFont="1" applyBorder="1" applyAlignment="1">
      <alignment horizontal="right" vertical="center" wrapText="1"/>
    </xf>
    <xf numFmtId="0" fontId="134" fillId="0" borderId="11" xfId="0" applyFont="1" applyBorder="1" applyAlignment="1">
      <alignment horizontal="distributed" vertical="center" wrapText="1"/>
    </xf>
    <xf numFmtId="180" fontId="155" fillId="0" borderId="11" xfId="0" applyNumberFormat="1" applyFont="1" applyBorder="1" applyAlignment="1">
      <alignment horizontal="right" vertical="center" wrapText="1"/>
    </xf>
    <xf numFmtId="180" fontId="135" fillId="0" borderId="11" xfId="0" applyNumberFormat="1" applyFont="1" applyBorder="1" applyAlignment="1">
      <alignment horizontal="right" vertical="center" wrapText="1"/>
    </xf>
    <xf numFmtId="0" fontId="160" fillId="35" borderId="0" xfId="0" applyFont="1" applyFill="1" applyAlignment="1">
      <alignment/>
    </xf>
    <xf numFmtId="192" fontId="146" fillId="0" borderId="0" xfId="34" applyNumberFormat="1" applyFont="1" applyAlignment="1">
      <alignment/>
    </xf>
    <xf numFmtId="0" fontId="190" fillId="0" borderId="0" xfId="0" applyFont="1" applyAlignment="1">
      <alignment horizontal="left" indent="15"/>
    </xf>
    <xf numFmtId="0" fontId="159" fillId="0" borderId="0" xfId="0" applyFont="1" applyAlignment="1">
      <alignment/>
    </xf>
    <xf numFmtId="0" fontId="157" fillId="0" borderId="0" xfId="0" applyFont="1" applyAlignment="1">
      <alignment horizontal="left" indent="2"/>
    </xf>
    <xf numFmtId="0" fontId="191" fillId="0" borderId="12" xfId="0" applyFont="1" applyBorder="1" applyAlignment="1">
      <alignment horizontal="distributed" vertical="distributed" wrapText="1"/>
    </xf>
    <xf numFmtId="0" fontId="152" fillId="0" borderId="12" xfId="0" applyFont="1" applyBorder="1" applyAlignment="1">
      <alignment horizontal="distributed" vertical="distributed" wrapText="1"/>
    </xf>
    <xf numFmtId="0" fontId="148" fillId="0" borderId="12" xfId="0" applyFont="1" applyBorder="1" applyAlignment="1">
      <alignment horizontal="distributed" vertical="distributed" wrapText="1"/>
    </xf>
    <xf numFmtId="41" fontId="145" fillId="0" borderId="18" xfId="0" applyNumberFormat="1" applyFont="1" applyBorder="1" applyAlignment="1">
      <alignment horizontal="justify" wrapText="1"/>
    </xf>
    <xf numFmtId="41" fontId="192" fillId="0" borderId="10" xfId="0" applyNumberFormat="1" applyFont="1" applyBorder="1" applyAlignment="1">
      <alignment horizontal="justify" wrapText="1"/>
    </xf>
    <xf numFmtId="41" fontId="148" fillId="0" borderId="10" xfId="0" applyNumberFormat="1" applyFont="1" applyBorder="1" applyAlignment="1">
      <alignment horizontal="justify" wrapText="1"/>
    </xf>
    <xf numFmtId="0" fontId="152" fillId="0" borderId="10" xfId="0" applyFont="1" applyBorder="1" applyAlignment="1">
      <alignment horizontal="justify" wrapText="1"/>
    </xf>
    <xf numFmtId="0" fontId="191" fillId="0" borderId="10" xfId="0" applyFont="1" applyBorder="1" applyAlignment="1">
      <alignment horizontal="justify" wrapText="1"/>
    </xf>
    <xf numFmtId="0" fontId="148" fillId="0" borderId="10" xfId="0" applyFont="1" applyBorder="1" applyAlignment="1">
      <alignment horizontal="justify" wrapText="1"/>
    </xf>
    <xf numFmtId="0" fontId="136" fillId="0" borderId="11" xfId="0" applyFont="1" applyBorder="1" applyAlignment="1">
      <alignment horizontal="center" wrapText="1"/>
    </xf>
    <xf numFmtId="41" fontId="145" fillId="0" borderId="11" xfId="0" applyNumberFormat="1" applyFont="1" applyBorder="1" applyAlignment="1">
      <alignment horizontal="justify" wrapText="1"/>
    </xf>
    <xf numFmtId="0" fontId="145" fillId="0" borderId="0" xfId="0" applyFont="1" applyAlignment="1">
      <alignment/>
    </xf>
    <xf numFmtId="0" fontId="134" fillId="0" borderId="12" xfId="0" applyFont="1" applyBorder="1" applyAlignment="1">
      <alignment horizontal="justify" wrapText="1"/>
    </xf>
    <xf numFmtId="0" fontId="134" fillId="0" borderId="18" xfId="0" applyFont="1" applyBorder="1" applyAlignment="1">
      <alignment horizontal="justify" wrapText="1"/>
    </xf>
    <xf numFmtId="177" fontId="165" fillId="0" borderId="18" xfId="0" applyNumberFormat="1" applyFont="1" applyBorder="1" applyAlignment="1">
      <alignment vertical="center"/>
    </xf>
    <xf numFmtId="177" fontId="165" fillId="0" borderId="10" xfId="0" applyNumberFormat="1" applyFont="1" applyBorder="1" applyAlignment="1">
      <alignment vertical="center"/>
    </xf>
    <xf numFmtId="0" fontId="134" fillId="0" borderId="11" xfId="0" applyFont="1" applyBorder="1" applyAlignment="1">
      <alignment/>
    </xf>
    <xf numFmtId="189" fontId="165" fillId="0" borderId="10" xfId="0" applyNumberFormat="1" applyFont="1" applyBorder="1" applyAlignment="1">
      <alignment/>
    </xf>
    <xf numFmtId="189" fontId="165" fillId="0" borderId="13" xfId="0" applyNumberFormat="1" applyFont="1" applyBorder="1" applyAlignment="1">
      <alignment/>
    </xf>
    <xf numFmtId="178" fontId="134" fillId="0" borderId="12" xfId="0" applyNumberFormat="1" applyFont="1" applyFill="1" applyBorder="1" applyAlignment="1">
      <alignment horizontal="distributed" vertical="center"/>
    </xf>
    <xf numFmtId="0" fontId="157" fillId="0" borderId="0" xfId="0" applyFont="1" applyAlignment="1">
      <alignment horizontal="center" vertical="center"/>
    </xf>
    <xf numFmtId="0" fontId="156" fillId="0" borderId="0" xfId="0" applyFont="1" applyAlignment="1">
      <alignment vertical="center"/>
    </xf>
    <xf numFmtId="0" fontId="134" fillId="0" borderId="0" xfId="0" applyFont="1" applyAlignment="1">
      <alignment horizontal="right" vertical="center"/>
    </xf>
    <xf numFmtId="0" fontId="160" fillId="0" borderId="0" xfId="0" applyFont="1" applyAlignment="1">
      <alignment horizontal="centerContinuous" vertical="center"/>
    </xf>
    <xf numFmtId="180" fontId="193" fillId="0" borderId="15" xfId="34" applyNumberFormat="1" applyFont="1" applyBorder="1" applyAlignment="1">
      <alignment vertical="center"/>
    </xf>
    <xf numFmtId="180" fontId="165" fillId="0" borderId="15" xfId="34" applyNumberFormat="1" applyFont="1" applyBorder="1" applyAlignment="1">
      <alignment vertical="center"/>
    </xf>
    <xf numFmtId="180" fontId="162" fillId="0" borderId="15" xfId="34" applyNumberFormat="1" applyFont="1" applyBorder="1" applyAlignment="1">
      <alignment vertical="center"/>
    </xf>
    <xf numFmtId="209" fontId="165" fillId="0" borderId="15" xfId="34" applyNumberFormat="1" applyFont="1" applyBorder="1" applyAlignment="1">
      <alignment vertical="center"/>
    </xf>
    <xf numFmtId="192" fontId="165" fillId="0" borderId="15" xfId="34" applyNumberFormat="1" applyFont="1" applyBorder="1" applyAlignment="1">
      <alignment vertical="center"/>
    </xf>
    <xf numFmtId="209" fontId="162" fillId="0" borderId="15" xfId="34" applyNumberFormat="1" applyFont="1" applyBorder="1" applyAlignment="1">
      <alignment vertical="center"/>
    </xf>
    <xf numFmtId="180" fontId="162" fillId="0" borderId="16" xfId="34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180" fontId="3" fillId="0" borderId="12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194" fillId="36" borderId="12" xfId="0" applyNumberFormat="1" applyFont="1" applyFill="1" applyBorder="1" applyAlignment="1">
      <alignment/>
    </xf>
    <xf numFmtId="0" fontId="194" fillId="36" borderId="12" xfId="0" applyFont="1" applyFill="1" applyBorder="1" applyAlignment="1">
      <alignment/>
    </xf>
    <xf numFmtId="180" fontId="194" fillId="0" borderId="12" xfId="0" applyNumberFormat="1" applyFont="1" applyBorder="1" applyAlignment="1">
      <alignment/>
    </xf>
    <xf numFmtId="0" fontId="194" fillId="0" borderId="12" xfId="0" applyFont="1" applyBorder="1" applyAlignment="1">
      <alignment/>
    </xf>
    <xf numFmtId="41" fontId="138" fillId="0" borderId="0" xfId="34" applyNumberFormat="1" applyFont="1" applyAlignment="1">
      <alignment/>
    </xf>
    <xf numFmtId="0" fontId="134" fillId="0" borderId="12" xfId="0" applyFont="1" applyBorder="1" applyAlignment="1">
      <alignment horizontal="center" vertical="top" wrapText="1"/>
    </xf>
    <xf numFmtId="0" fontId="134" fillId="0" borderId="12" xfId="0" applyFont="1" applyBorder="1" applyAlignment="1">
      <alignment horizontal="center" wrapText="1"/>
    </xf>
    <xf numFmtId="0" fontId="145" fillId="0" borderId="11" xfId="0" applyFont="1" applyBorder="1" applyAlignment="1">
      <alignment horizontal="center" wrapText="1"/>
    </xf>
    <xf numFmtId="0" fontId="136" fillId="0" borderId="12" xfId="0" applyFont="1" applyBorder="1" applyAlignment="1">
      <alignment horizontal="justify" wrapText="1"/>
    </xf>
    <xf numFmtId="0" fontId="136" fillId="0" borderId="12" xfId="0" applyFont="1" applyBorder="1" applyAlignment="1">
      <alignment horizontal="center" vertical="center" wrapText="1"/>
    </xf>
    <xf numFmtId="191" fontId="135" fillId="0" borderId="10" xfId="0" applyNumberFormat="1" applyFont="1" applyBorder="1" applyAlignment="1">
      <alignment/>
    </xf>
    <xf numFmtId="191" fontId="135" fillId="0" borderId="18" xfId="0" applyNumberFormat="1" applyFont="1" applyBorder="1" applyAlignment="1">
      <alignment/>
    </xf>
    <xf numFmtId="191" fontId="166" fillId="0" borderId="10" xfId="0" applyNumberFormat="1" applyFont="1" applyBorder="1" applyAlignment="1">
      <alignment/>
    </xf>
    <xf numFmtId="191" fontId="135" fillId="0" borderId="10" xfId="0" applyNumberFormat="1" applyFont="1" applyFill="1" applyBorder="1" applyAlignment="1">
      <alignment/>
    </xf>
    <xf numFmtId="191" fontId="155" fillId="0" borderId="10" xfId="0" applyNumberFormat="1" applyFont="1" applyBorder="1" applyAlignment="1">
      <alignment/>
    </xf>
    <xf numFmtId="0" fontId="145" fillId="0" borderId="10" xfId="0" applyFont="1" applyFill="1" applyBorder="1" applyAlignment="1">
      <alignment horizontal="justify" vertical="center" wrapText="1"/>
    </xf>
    <xf numFmtId="0" fontId="145" fillId="0" borderId="10" xfId="0" applyFont="1" applyBorder="1" applyAlignment="1">
      <alignment horizontal="justify" vertical="center" wrapText="1"/>
    </xf>
    <xf numFmtId="0" fontId="33" fillId="0" borderId="0" xfId="0" applyFont="1" applyAlignment="1">
      <alignment horizontal="center" vertical="center"/>
    </xf>
    <xf numFmtId="37" fontId="8" fillId="0" borderId="0" xfId="33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7" fontId="165" fillId="0" borderId="16" xfId="33" applyFont="1" applyBorder="1" applyAlignment="1">
      <alignment vertical="center"/>
      <protection/>
    </xf>
    <xf numFmtId="0" fontId="165" fillId="0" borderId="21" xfId="0" applyFont="1" applyBorder="1" applyAlignment="1">
      <alignment vertical="center"/>
    </xf>
    <xf numFmtId="0" fontId="165" fillId="0" borderId="14" xfId="0" applyFont="1" applyBorder="1" applyAlignment="1">
      <alignment vertical="center"/>
    </xf>
    <xf numFmtId="37" fontId="3" fillId="0" borderId="21" xfId="33" applyFont="1" applyBorder="1" applyAlignment="1" applyProtection="1">
      <alignment horizontal="right"/>
      <protection/>
    </xf>
    <xf numFmtId="0" fontId="0" fillId="0" borderId="21" xfId="0" applyBorder="1" applyAlignment="1">
      <alignment horizontal="right"/>
    </xf>
    <xf numFmtId="37" fontId="9" fillId="0" borderId="21" xfId="33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161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56" fillId="0" borderId="0" xfId="0" applyFont="1" applyAlignment="1">
      <alignment horizontal="center" vertical="center"/>
    </xf>
    <xf numFmtId="178" fontId="134" fillId="0" borderId="12" xfId="0" applyNumberFormat="1" applyFont="1" applyFill="1" applyBorder="1" applyAlignment="1">
      <alignment horizontal="distributed" vertical="center"/>
    </xf>
    <xf numFmtId="0" fontId="156" fillId="0" borderId="12" xfId="0" applyFont="1" applyFill="1" applyBorder="1" applyAlignment="1">
      <alignment horizontal="distributed" vertical="center"/>
    </xf>
    <xf numFmtId="178" fontId="170" fillId="0" borderId="18" xfId="0" applyNumberFormat="1" applyFont="1" applyFill="1" applyBorder="1" applyAlignment="1">
      <alignment vertical="center"/>
    </xf>
    <xf numFmtId="0" fontId="156" fillId="0" borderId="10" xfId="0" applyFont="1" applyFill="1" applyBorder="1" applyAlignment="1">
      <alignment vertical="center"/>
    </xf>
    <xf numFmtId="0" fontId="156" fillId="0" borderId="11" xfId="0" applyFont="1" applyFill="1" applyBorder="1" applyAlignment="1">
      <alignment vertical="center"/>
    </xf>
    <xf numFmtId="0" fontId="134" fillId="0" borderId="12" xfId="0" applyFont="1" applyFill="1" applyBorder="1" applyAlignment="1">
      <alignment horizontal="distributed" vertical="center"/>
    </xf>
    <xf numFmtId="178" fontId="134" fillId="0" borderId="10" xfId="0" applyNumberFormat="1" applyFont="1" applyFill="1" applyBorder="1" applyAlignment="1">
      <alignment horizontal="distributed" vertical="center"/>
    </xf>
    <xf numFmtId="0" fontId="156" fillId="0" borderId="11" xfId="0" applyFont="1" applyFill="1" applyBorder="1" applyAlignment="1">
      <alignment horizontal="distributed" vertical="center"/>
    </xf>
    <xf numFmtId="0" fontId="156" fillId="0" borderId="10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10" xfId="0" applyFont="1" applyFill="1" applyBorder="1" applyAlignment="1">
      <alignment horizontal="distributed" vertical="center"/>
    </xf>
    <xf numFmtId="0" fontId="160" fillId="0" borderId="0" xfId="0" applyFont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156" fillId="0" borderId="0" xfId="0" applyFont="1" applyAlignment="1">
      <alignment vertical="center"/>
    </xf>
    <xf numFmtId="0" fontId="136" fillId="0" borderId="12" xfId="0" applyFont="1" applyFill="1" applyBorder="1" applyAlignment="1">
      <alignment horizontal="distributed" vertical="center" wrapText="1"/>
    </xf>
    <xf numFmtId="0" fontId="156" fillId="0" borderId="12" xfId="0" applyFont="1" applyFill="1" applyBorder="1" applyAlignment="1">
      <alignment horizontal="distributed" vertical="center" wrapText="1"/>
    </xf>
    <xf numFmtId="0" fontId="145" fillId="0" borderId="12" xfId="0" applyFont="1" applyFill="1" applyBorder="1" applyAlignment="1">
      <alignment horizontal="distributed" vertical="center" wrapText="1"/>
    </xf>
    <xf numFmtId="0" fontId="156" fillId="0" borderId="12" xfId="0" applyFont="1" applyFill="1" applyBorder="1" applyAlignment="1">
      <alignment vertical="center"/>
    </xf>
    <xf numFmtId="0" fontId="134" fillId="0" borderId="12" xfId="0" applyFont="1" applyBorder="1" applyAlignment="1">
      <alignment horizontal="distributed" vertical="center"/>
    </xf>
    <xf numFmtId="0" fontId="136" fillId="0" borderId="17" xfId="0" applyFont="1" applyBorder="1" applyAlignment="1">
      <alignment horizontal="distributed" vertical="center"/>
    </xf>
    <xf numFmtId="0" fontId="156" fillId="0" borderId="20" xfId="0" applyFont="1" applyBorder="1" applyAlignment="1">
      <alignment horizontal="distributed" vertical="center"/>
    </xf>
    <xf numFmtId="0" fontId="156" fillId="0" borderId="16" xfId="0" applyFont="1" applyBorder="1" applyAlignment="1">
      <alignment horizontal="distributed" vertical="center"/>
    </xf>
    <xf numFmtId="0" fontId="156" fillId="0" borderId="14" xfId="0" applyFont="1" applyBorder="1" applyAlignment="1">
      <alignment horizontal="distributed" vertical="center"/>
    </xf>
    <xf numFmtId="0" fontId="134" fillId="0" borderId="0" xfId="0" applyFont="1" applyAlignment="1">
      <alignment horizontal="right" vertical="center"/>
    </xf>
    <xf numFmtId="0" fontId="156" fillId="0" borderId="0" xfId="0" applyFont="1" applyAlignment="1">
      <alignment horizontal="right" vertical="center"/>
    </xf>
    <xf numFmtId="178" fontId="170" fillId="0" borderId="18" xfId="0" applyNumberFormat="1" applyFont="1" applyFill="1" applyBorder="1" applyAlignment="1">
      <alignment horizontal="center" vertical="center"/>
    </xf>
    <xf numFmtId="0" fontId="157" fillId="0" borderId="21" xfId="0" applyFont="1" applyBorder="1" applyAlignment="1">
      <alignment vertical="center"/>
    </xf>
    <xf numFmtId="0" fontId="156" fillId="0" borderId="2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4" fillId="0" borderId="21" xfId="0" applyFont="1" applyBorder="1" applyAlignment="1">
      <alignment horizontal="right" vertical="center"/>
    </xf>
    <xf numFmtId="0" fontId="156" fillId="0" borderId="21" xfId="0" applyFont="1" applyBorder="1" applyAlignment="1">
      <alignment horizontal="right" vertical="center"/>
    </xf>
    <xf numFmtId="0" fontId="0" fillId="0" borderId="0" xfId="0" applyAlignment="1">
      <alignment/>
    </xf>
    <xf numFmtId="178" fontId="134" fillId="0" borderId="18" xfId="0" applyNumberFormat="1" applyFont="1" applyFill="1" applyBorder="1" applyAlignment="1">
      <alignment horizontal="distributed" vertical="center"/>
    </xf>
    <xf numFmtId="0" fontId="156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134" fillId="0" borderId="18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4" fillId="0" borderId="19" xfId="0" applyFont="1" applyBorder="1" applyAlignment="1">
      <alignment vertical="center" wrapText="1"/>
    </xf>
    <xf numFmtId="0" fontId="156" fillId="0" borderId="19" xfId="0" applyFont="1" applyBorder="1" applyAlignment="1">
      <alignment vertical="center" wrapText="1"/>
    </xf>
    <xf numFmtId="0" fontId="156" fillId="0" borderId="0" xfId="0" applyFont="1" applyAlignment="1">
      <alignment vertical="center" wrapText="1"/>
    </xf>
    <xf numFmtId="178" fontId="134" fillId="0" borderId="17" xfId="0" applyNumberFormat="1" applyFont="1" applyFill="1" applyBorder="1" applyAlignment="1">
      <alignment horizontal="distributed" vertical="center"/>
    </xf>
    <xf numFmtId="0" fontId="134" fillId="0" borderId="20" xfId="0" applyFont="1" applyFill="1" applyBorder="1" applyAlignment="1">
      <alignment horizontal="distributed" vertical="center"/>
    </xf>
    <xf numFmtId="0" fontId="134" fillId="0" borderId="16" xfId="0" applyFont="1" applyFill="1" applyBorder="1" applyAlignment="1">
      <alignment horizontal="distributed" vertical="center"/>
    </xf>
    <xf numFmtId="0" fontId="134" fillId="0" borderId="14" xfId="0" applyFont="1" applyFill="1" applyBorder="1" applyAlignment="1">
      <alignment horizontal="distributed" vertical="center"/>
    </xf>
    <xf numFmtId="0" fontId="134" fillId="0" borderId="10" xfId="0" applyFont="1" applyBorder="1" applyAlignment="1">
      <alignment horizontal="distributed" vertical="center"/>
    </xf>
    <xf numFmtId="0" fontId="134" fillId="0" borderId="11" xfId="0" applyFont="1" applyBorder="1" applyAlignment="1">
      <alignment horizontal="distributed" vertical="center"/>
    </xf>
    <xf numFmtId="178" fontId="145" fillId="0" borderId="17" xfId="0" applyNumberFormat="1" applyFont="1" applyBorder="1" applyAlignment="1">
      <alignment horizontal="distributed" vertical="center"/>
    </xf>
    <xf numFmtId="0" fontId="145" fillId="0" borderId="20" xfId="0" applyFont="1" applyBorder="1" applyAlignment="1">
      <alignment horizontal="distributed" vertical="center"/>
    </xf>
    <xf numFmtId="0" fontId="145" fillId="0" borderId="16" xfId="0" applyFont="1" applyBorder="1" applyAlignment="1">
      <alignment horizontal="distributed" vertical="center"/>
    </xf>
    <xf numFmtId="0" fontId="145" fillId="0" borderId="14" xfId="0" applyFont="1" applyBorder="1" applyAlignment="1">
      <alignment horizontal="distributed" vertical="center"/>
    </xf>
    <xf numFmtId="178" fontId="145" fillId="0" borderId="17" xfId="0" applyNumberFormat="1" applyFont="1" applyFill="1" applyBorder="1" applyAlignment="1">
      <alignment horizontal="distributed" vertical="center"/>
    </xf>
    <xf numFmtId="0" fontId="145" fillId="0" borderId="20" xfId="0" applyFont="1" applyFill="1" applyBorder="1" applyAlignment="1">
      <alignment horizontal="distributed" vertical="center"/>
    </xf>
    <xf numFmtId="0" fontId="145" fillId="0" borderId="16" xfId="0" applyFont="1" applyFill="1" applyBorder="1" applyAlignment="1">
      <alignment horizontal="distributed" vertical="center"/>
    </xf>
    <xf numFmtId="0" fontId="145" fillId="0" borderId="14" xfId="0" applyFont="1" applyFill="1" applyBorder="1" applyAlignment="1">
      <alignment horizontal="distributed" vertical="center"/>
    </xf>
    <xf numFmtId="0" fontId="134" fillId="0" borderId="18" xfId="0" applyFont="1" applyFill="1" applyBorder="1" applyAlignment="1">
      <alignment horizontal="distributed" vertical="center"/>
    </xf>
    <xf numFmtId="0" fontId="134" fillId="0" borderId="10" xfId="0" applyFont="1" applyFill="1" applyBorder="1" applyAlignment="1">
      <alignment horizontal="distributed" vertical="center"/>
    </xf>
    <xf numFmtId="0" fontId="134" fillId="0" borderId="11" xfId="0" applyFont="1" applyFill="1" applyBorder="1" applyAlignment="1">
      <alignment horizontal="distributed" vertical="center"/>
    </xf>
    <xf numFmtId="0" fontId="161" fillId="0" borderId="0" xfId="0" applyFont="1" applyFill="1" applyAlignment="1">
      <alignment horizontal="center"/>
    </xf>
    <xf numFmtId="0" fontId="157" fillId="0" borderId="21" xfId="0" applyFont="1" applyBorder="1" applyAlignment="1">
      <alignment horizontal="center"/>
    </xf>
    <xf numFmtId="0" fontId="134" fillId="0" borderId="22" xfId="0" applyFont="1" applyBorder="1" applyAlignment="1">
      <alignment horizontal="distributed" vertical="center" wrapText="1"/>
    </xf>
    <xf numFmtId="0" fontId="134" fillId="0" borderId="23" xfId="0" applyFont="1" applyBorder="1" applyAlignment="1">
      <alignment horizontal="distributed" vertical="center" wrapText="1"/>
    </xf>
    <xf numFmtId="0" fontId="134" fillId="0" borderId="12" xfId="0" applyFont="1" applyBorder="1" applyAlignment="1">
      <alignment horizontal="distributed" vertical="center" wrapText="1"/>
    </xf>
    <xf numFmtId="0" fontId="134" fillId="0" borderId="12" xfId="0" applyFont="1" applyFill="1" applyBorder="1" applyAlignment="1">
      <alignment horizontal="distributed" vertical="center" wrapText="1"/>
    </xf>
    <xf numFmtId="0" fontId="134" fillId="0" borderId="18" xfId="0" applyFont="1" applyBorder="1" applyAlignment="1">
      <alignment horizontal="center" vertical="distributed" textRotation="255" wrapText="1"/>
    </xf>
    <xf numFmtId="0" fontId="134" fillId="0" borderId="10" xfId="0" applyFont="1" applyBorder="1" applyAlignment="1">
      <alignment horizontal="center" vertical="distributed" textRotation="255" wrapText="1"/>
    </xf>
    <xf numFmtId="0" fontId="156" fillId="0" borderId="10" xfId="0" applyFont="1" applyBorder="1" applyAlignment="1">
      <alignment horizontal="center" vertical="distributed" textRotation="255" wrapText="1"/>
    </xf>
    <xf numFmtId="0" fontId="156" fillId="0" borderId="11" xfId="0" applyFont="1" applyBorder="1" applyAlignment="1">
      <alignment horizontal="center" vertical="distributed" textRotation="255" wrapText="1"/>
    </xf>
    <xf numFmtId="0" fontId="156" fillId="0" borderId="10" xfId="0" applyFont="1" applyBorder="1" applyAlignment="1">
      <alignment vertical="distributed" textRotation="255" wrapText="1"/>
    </xf>
    <xf numFmtId="0" fontId="156" fillId="0" borderId="11" xfId="0" applyFont="1" applyBorder="1" applyAlignment="1">
      <alignment vertical="distributed" textRotation="255" wrapText="1"/>
    </xf>
    <xf numFmtId="0" fontId="157" fillId="0" borderId="0" xfId="0" applyFont="1" applyBorder="1" applyAlignment="1">
      <alignment horizontal="center"/>
    </xf>
    <xf numFmtId="180" fontId="134" fillId="0" borderId="0" xfId="0" applyNumberFormat="1" applyFont="1" applyBorder="1" applyAlignment="1">
      <alignment horizontal="center"/>
    </xf>
    <xf numFmtId="180" fontId="134" fillId="0" borderId="22" xfId="0" applyNumberFormat="1" applyFont="1" applyFill="1" applyBorder="1" applyAlignment="1">
      <alignment horizontal="distributed" vertical="center" wrapText="1"/>
    </xf>
    <xf numFmtId="180" fontId="134" fillId="0" borderId="23" xfId="0" applyNumberFormat="1" applyFont="1" applyFill="1" applyBorder="1" applyAlignment="1">
      <alignment horizontal="distributed" vertical="center" wrapText="1"/>
    </xf>
    <xf numFmtId="180" fontId="134" fillId="0" borderId="12" xfId="0" applyNumberFormat="1" applyFont="1" applyBorder="1" applyAlignment="1">
      <alignment horizontal="distributed" vertical="center" wrapText="1"/>
    </xf>
    <xf numFmtId="180" fontId="134" fillId="0" borderId="12" xfId="0" applyNumberFormat="1" applyFont="1" applyFill="1" applyBorder="1" applyAlignment="1">
      <alignment horizontal="distributed" vertical="center" wrapText="1"/>
    </xf>
    <xf numFmtId="0" fontId="145" fillId="0" borderId="12" xfId="0" applyFont="1" applyBorder="1" applyAlignment="1">
      <alignment horizontal="distributed" wrapText="1"/>
    </xf>
    <xf numFmtId="0" fontId="134" fillId="0" borderId="21" xfId="0" applyFont="1" applyBorder="1" applyAlignment="1">
      <alignment horizontal="right"/>
    </xf>
    <xf numFmtId="0" fontId="156" fillId="0" borderId="21" xfId="0" applyFont="1" applyBorder="1" applyAlignment="1">
      <alignment horizontal="right"/>
    </xf>
    <xf numFmtId="0" fontId="145" fillId="0" borderId="17" xfId="0" applyFont="1" applyBorder="1" applyAlignment="1">
      <alignment horizontal="distributed" wrapText="1"/>
    </xf>
    <xf numFmtId="0" fontId="145" fillId="0" borderId="19" xfId="0" applyFont="1" applyBorder="1" applyAlignment="1">
      <alignment horizontal="distributed" wrapText="1"/>
    </xf>
    <xf numFmtId="0" fontId="145" fillId="0" borderId="20" xfId="0" applyFont="1" applyBorder="1" applyAlignment="1">
      <alignment horizontal="distributed" wrapText="1"/>
    </xf>
    <xf numFmtId="0" fontId="145" fillId="0" borderId="16" xfId="0" applyFont="1" applyBorder="1" applyAlignment="1">
      <alignment horizontal="distributed" wrapText="1"/>
    </xf>
    <xf numFmtId="0" fontId="145" fillId="0" borderId="21" xfId="0" applyFont="1" applyBorder="1" applyAlignment="1">
      <alignment horizontal="distributed" wrapText="1"/>
    </xf>
    <xf numFmtId="0" fontId="145" fillId="0" borderId="14" xfId="0" applyFont="1" applyBorder="1" applyAlignment="1">
      <alignment horizontal="distributed" wrapText="1"/>
    </xf>
    <xf numFmtId="0" fontId="145" fillId="0" borderId="18" xfId="0" applyFont="1" applyFill="1" applyBorder="1" applyAlignment="1">
      <alignment horizontal="distributed" vertical="distributed" wrapText="1"/>
    </xf>
    <xf numFmtId="0" fontId="145" fillId="0" borderId="10" xfId="0" applyFont="1" applyFill="1" applyBorder="1" applyAlignment="1">
      <alignment horizontal="distributed" vertical="distributed" wrapText="1"/>
    </xf>
    <xf numFmtId="0" fontId="145" fillId="0" borderId="11" xfId="0" applyFont="1" applyFill="1" applyBorder="1" applyAlignment="1">
      <alignment horizontal="distributed" vertical="distributed" wrapText="1"/>
    </xf>
    <xf numFmtId="0" fontId="145" fillId="0" borderId="18" xfId="0" applyFont="1" applyBorder="1" applyAlignment="1">
      <alignment horizontal="distributed" vertical="center" wrapText="1"/>
    </xf>
    <xf numFmtId="0" fontId="134" fillId="0" borderId="10" xfId="0" applyFont="1" applyBorder="1" applyAlignment="1">
      <alignment horizontal="distributed" vertical="center" wrapText="1"/>
    </xf>
    <xf numFmtId="0" fontId="134" fillId="0" borderId="11" xfId="0" applyFont="1" applyBorder="1" applyAlignment="1">
      <alignment horizontal="distributed" vertical="center" wrapText="1"/>
    </xf>
    <xf numFmtId="0" fontId="134" fillId="0" borderId="12" xfId="0" applyFont="1" applyFill="1" applyBorder="1" applyAlignment="1">
      <alignment horizontal="distributed" vertical="distributed" wrapText="1"/>
    </xf>
    <xf numFmtId="0" fontId="161" fillId="0" borderId="0" xfId="0" applyFont="1" applyAlignment="1">
      <alignment horizontal="center"/>
    </xf>
    <xf numFmtId="0" fontId="134" fillId="0" borderId="18" xfId="0" applyFont="1" applyFill="1" applyBorder="1" applyAlignment="1">
      <alignment horizontal="distributed" vertical="distributed" wrapText="1"/>
    </xf>
    <xf numFmtId="0" fontId="156" fillId="0" borderId="11" xfId="0" applyFont="1" applyFill="1" applyBorder="1" applyAlignment="1">
      <alignment horizontal="distributed" vertical="distributed" wrapText="1"/>
    </xf>
    <xf numFmtId="0" fontId="160" fillId="0" borderId="0" xfId="0" applyFont="1" applyAlignment="1">
      <alignment horizontal="center"/>
    </xf>
    <xf numFmtId="0" fontId="134" fillId="0" borderId="10" xfId="0" applyFont="1" applyFill="1" applyBorder="1" applyAlignment="1">
      <alignment horizontal="distributed" vertical="distributed" wrapText="1"/>
    </xf>
    <xf numFmtId="0" fontId="134" fillId="0" borderId="11" xfId="0" applyFont="1" applyFill="1" applyBorder="1" applyAlignment="1">
      <alignment horizontal="distributed" vertical="distributed" wrapText="1"/>
    </xf>
    <xf numFmtId="0" fontId="134" fillId="0" borderId="12" xfId="0" applyFont="1" applyBorder="1" applyAlignment="1">
      <alignment horizontal="distributed" vertical="distributed" wrapText="1"/>
    </xf>
    <xf numFmtId="0" fontId="161" fillId="0" borderId="0" xfId="0" applyFont="1" applyAlignment="1">
      <alignment horizontal="right"/>
    </xf>
    <xf numFmtId="0" fontId="156" fillId="0" borderId="0" xfId="0" applyFont="1" applyAlignment="1">
      <alignment horizontal="right"/>
    </xf>
    <xf numFmtId="0" fontId="161" fillId="0" borderId="0" xfId="0" applyFont="1" applyAlignment="1">
      <alignment horizontal="left"/>
    </xf>
    <xf numFmtId="0" fontId="156" fillId="0" borderId="0" xfId="0" applyFont="1" applyAlignment="1">
      <alignment/>
    </xf>
    <xf numFmtId="0" fontId="160" fillId="0" borderId="0" xfId="0" applyFont="1" applyAlignment="1">
      <alignment horizontal="right"/>
    </xf>
    <xf numFmtId="0" fontId="160" fillId="0" borderId="0" xfId="0" applyFont="1" applyAlignment="1">
      <alignment horizontal="left"/>
    </xf>
    <xf numFmtId="0" fontId="157" fillId="0" borderId="21" xfId="0" applyFont="1" applyBorder="1" applyAlignment="1">
      <alignment horizontal="right"/>
    </xf>
    <xf numFmtId="0" fontId="156" fillId="0" borderId="21" xfId="0" applyFont="1" applyBorder="1" applyAlignment="1">
      <alignment/>
    </xf>
    <xf numFmtId="0" fontId="157" fillId="0" borderId="21" xfId="0" applyFont="1" applyBorder="1" applyAlignment="1">
      <alignment horizontal="left"/>
    </xf>
    <xf numFmtId="0" fontId="136" fillId="0" borderId="12" xfId="0" applyFont="1" applyBorder="1" applyAlignment="1">
      <alignment horizontal="distributed" vertical="distributed" wrapText="1"/>
    </xf>
    <xf numFmtId="0" fontId="134" fillId="0" borderId="18" xfId="0" applyFont="1" applyBorder="1" applyAlignment="1">
      <alignment horizontal="distributed" vertical="distributed" wrapText="1"/>
    </xf>
    <xf numFmtId="0" fontId="134" fillId="0" borderId="10" xfId="0" applyFont="1" applyBorder="1" applyAlignment="1">
      <alignment horizontal="distributed" vertical="distributed" wrapText="1"/>
    </xf>
    <xf numFmtId="0" fontId="134" fillId="0" borderId="11" xfId="0" applyFont="1" applyBorder="1" applyAlignment="1">
      <alignment horizontal="distributed" vertical="distributed" wrapText="1"/>
    </xf>
    <xf numFmtId="0" fontId="151" fillId="0" borderId="12" xfId="0" applyFont="1" applyBorder="1" applyAlignment="1">
      <alignment horizontal="distributed" vertical="distributed" wrapText="1"/>
    </xf>
    <xf numFmtId="0" fontId="134" fillId="0" borderId="22" xfId="0" applyFont="1" applyBorder="1" applyAlignment="1">
      <alignment horizontal="distributed" vertical="distributed" wrapText="1"/>
    </xf>
    <xf numFmtId="0" fontId="134" fillId="0" borderId="24" xfId="0" applyFont="1" applyBorder="1" applyAlignment="1">
      <alignment horizontal="distributed" vertical="distributed" wrapText="1"/>
    </xf>
    <xf numFmtId="0" fontId="134" fillId="0" borderId="23" xfId="0" applyFont="1" applyBorder="1" applyAlignment="1">
      <alignment horizontal="distributed" vertical="distributed" wrapText="1"/>
    </xf>
    <xf numFmtId="0" fontId="145" fillId="0" borderId="12" xfId="0" applyFont="1" applyBorder="1" applyAlignment="1">
      <alignment horizontal="distributed" vertical="distributed" wrapText="1"/>
    </xf>
    <xf numFmtId="0" fontId="33" fillId="0" borderId="0" xfId="0" applyFont="1" applyAlignment="1">
      <alignment horizontal="center"/>
    </xf>
    <xf numFmtId="0" fontId="145" fillId="0" borderId="18" xfId="0" applyFont="1" applyBorder="1" applyAlignment="1">
      <alignment horizontal="distributed" vertical="distributed" wrapText="1"/>
    </xf>
    <xf numFmtId="0" fontId="145" fillId="0" borderId="10" xfId="0" applyFont="1" applyBorder="1" applyAlignment="1">
      <alignment horizontal="distributed" vertical="distributed" wrapText="1"/>
    </xf>
    <xf numFmtId="0" fontId="145" fillId="0" borderId="11" xfId="0" applyFont="1" applyBorder="1" applyAlignment="1">
      <alignment horizontal="distributed" vertical="distributed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34" fillId="0" borderId="12" xfId="0" applyFont="1" applyBorder="1" applyAlignment="1">
      <alignment horizontal="center" vertical="center" wrapText="1"/>
    </xf>
    <xf numFmtId="0" fontId="151" fillId="0" borderId="18" xfId="0" applyFont="1" applyBorder="1" applyAlignment="1">
      <alignment horizontal="center" vertical="center" wrapText="1"/>
    </xf>
    <xf numFmtId="0" fontId="151" fillId="0" borderId="11" xfId="0" applyFont="1" applyBorder="1" applyAlignment="1">
      <alignment horizontal="center" vertical="center" wrapText="1"/>
    </xf>
    <xf numFmtId="0" fontId="134" fillId="0" borderId="18" xfId="0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0" borderId="11" xfId="0" applyFont="1" applyBorder="1" applyAlignment="1">
      <alignment horizontal="center" vertical="center" wrapText="1"/>
    </xf>
    <xf numFmtId="0" fontId="152" fillId="0" borderId="12" xfId="0" applyFont="1" applyBorder="1" applyAlignment="1">
      <alignment horizontal="distributed" vertical="distributed" wrapText="1"/>
    </xf>
    <xf numFmtId="0" fontId="148" fillId="0" borderId="12" xfId="0" applyFont="1" applyBorder="1" applyAlignment="1">
      <alignment horizontal="distributed" vertical="distributed" wrapText="1"/>
    </xf>
    <xf numFmtId="0" fontId="191" fillId="0" borderId="12" xfId="0" applyFont="1" applyBorder="1" applyAlignment="1">
      <alignment horizontal="distributed" vertical="distributed" wrapText="1"/>
    </xf>
    <xf numFmtId="0" fontId="145" fillId="0" borderId="22" xfId="0" applyFont="1" applyBorder="1" applyAlignment="1">
      <alignment horizontal="center" vertical="distributed" wrapText="1"/>
    </xf>
    <xf numFmtId="0" fontId="145" fillId="0" borderId="24" xfId="0" applyFont="1" applyBorder="1" applyAlignment="1">
      <alignment horizontal="center" vertical="distributed" wrapText="1"/>
    </xf>
    <xf numFmtId="0" fontId="145" fillId="0" borderId="23" xfId="0" applyFont="1" applyBorder="1" applyAlignment="1">
      <alignment horizontal="center" vertical="distributed" wrapText="1"/>
    </xf>
    <xf numFmtId="0" fontId="195" fillId="0" borderId="18" xfId="0" applyFont="1" applyBorder="1" applyAlignment="1">
      <alignment horizontal="center" wrapText="1"/>
    </xf>
    <xf numFmtId="0" fontId="134" fillId="0" borderId="11" xfId="0" applyFont="1" applyBorder="1" applyAlignment="1">
      <alignment horizontal="center" wrapText="1"/>
    </xf>
    <xf numFmtId="0" fontId="145" fillId="0" borderId="12" xfId="0" applyFont="1" applyBorder="1" applyAlignment="1">
      <alignment horizontal="center" wrapText="1"/>
    </xf>
    <xf numFmtId="0" fontId="134" fillId="0" borderId="12" xfId="0" applyFont="1" applyBorder="1" applyAlignment="1">
      <alignment horizontal="center" wrapText="1"/>
    </xf>
    <xf numFmtId="0" fontId="134" fillId="0" borderId="16" xfId="0" applyFont="1" applyBorder="1" applyAlignment="1">
      <alignment horizontal="center" vertical="top" wrapText="1"/>
    </xf>
    <xf numFmtId="0" fontId="134" fillId="0" borderId="21" xfId="0" applyFont="1" applyBorder="1" applyAlignment="1">
      <alignment horizontal="center" vertical="top" wrapText="1"/>
    </xf>
    <xf numFmtId="0" fontId="134" fillId="0" borderId="1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right" wrapText="1"/>
    </xf>
    <xf numFmtId="0" fontId="24" fillId="0" borderId="19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財務謫要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24025" y="1000125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9775" y="942975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97155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0001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My%20Documents\&#22522;&#37329;\&#38468;&#23660;&#21934;&#20301;&#27770;&#31639;\94&#27770;&#31639;\93&#27770;&#31639;-&#38750;&#29151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ww600504\Desktop\&#23560;&#21729;&#36039;&#26009;\&#22522;&#37329;\&#38468;&#23660;&#21934;&#20301;&#27770;&#31639;\105&#27770;&#31639;(&#21547;&#21322;&#24180;&#32080;&#31639;)\&#27770;&#31639;\105&#27770;&#31639;-&#29151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(科目)"/>
      <sheetName val="收支餘絀(基金)"/>
      <sheetName val="撥補科目"/>
      <sheetName val="Sheet1"/>
      <sheetName val="撥補基金"/>
      <sheetName val="現金科目"/>
      <sheetName val="Sheet2"/>
      <sheetName val="現金基金"/>
      <sheetName val="平衡表科目"/>
      <sheetName val="平衡基金"/>
      <sheetName val="Sheet3"/>
      <sheetName val="主要業務"/>
      <sheetName val="Sheet5"/>
      <sheetName val="員工人數"/>
      <sheetName val="用人費用"/>
      <sheetName val="固定資產"/>
      <sheetName val="Sheet4"/>
      <sheetName val="長期債務"/>
      <sheetName val="基金數額"/>
      <sheetName val="目錄"/>
      <sheetName val="Sheet5 (3)"/>
      <sheetName val="Sheet7 (2)"/>
      <sheetName val="Sheet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摘要"/>
      <sheetName val="Sheet1"/>
      <sheetName val="損益-科目 "/>
      <sheetName val="損益機關"/>
      <sheetName val="Sheet2"/>
      <sheetName val="盈虧撥補科目"/>
      <sheetName val="盈虧撥補"/>
      <sheetName val="Sheet3"/>
      <sheetName val="現流科目"/>
      <sheetName val="現金機關"/>
      <sheetName val="Sheet6"/>
      <sheetName val="資產負債科目"/>
      <sheetName val="資產機關"/>
      <sheetName val="Sheet8"/>
      <sheetName val="查核金酒 "/>
      <sheetName val="查核陶瓷"/>
      <sheetName val="查核報社"/>
      <sheetName val="查核公車"/>
      <sheetName val="查核浯江"/>
      <sheetName val="查核水廠"/>
      <sheetName val="Sheet9"/>
      <sheetName val="主要產品產銷"/>
      <sheetName val="營業利益"/>
      <sheetName val="純益"/>
      <sheetName val="員工人數"/>
      <sheetName val="用人費用"/>
      <sheetName val="固定資產"/>
      <sheetName val="Sheet10"/>
      <sheetName val="長期債務"/>
      <sheetName val="經營財"/>
      <sheetName val="經營績"/>
      <sheetName val="經營成長"/>
      <sheetName val="Sheet5"/>
      <sheetName val="Sheet7"/>
      <sheetName val="Sheet7 (2)"/>
      <sheetName val="Sheet4"/>
      <sheetName val="目錄"/>
    </sheetNames>
    <sheetDataSet>
      <sheetData sheetId="12">
        <row r="37">
          <cell r="D37">
            <v>393230287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28"/>
  <sheetViews>
    <sheetView showGridLines="0" tabSelected="1" zoomScalePageLayoutView="0" workbookViewId="0" topLeftCell="A1">
      <selection activeCell="A23" sqref="A23"/>
    </sheetView>
  </sheetViews>
  <sheetFormatPr defaultColWidth="14.375" defaultRowHeight="16.5"/>
  <cols>
    <col min="1" max="1" width="25.25390625" style="2" customWidth="1"/>
    <col min="2" max="3" width="15.50390625" style="2" customWidth="1"/>
    <col min="4" max="4" width="16.75390625" style="2" customWidth="1"/>
    <col min="5" max="5" width="9.125" style="2" customWidth="1"/>
    <col min="6" max="16384" width="14.375" style="2" customWidth="1"/>
  </cols>
  <sheetData>
    <row r="1" spans="1:5" ht="21">
      <c r="A1" s="589" t="s">
        <v>182</v>
      </c>
      <c r="B1" s="589"/>
      <c r="C1" s="589"/>
      <c r="D1" s="589"/>
      <c r="E1" s="589"/>
    </row>
    <row r="2" spans="1:5" ht="21">
      <c r="A2" s="590" t="s">
        <v>201</v>
      </c>
      <c r="B2" s="591"/>
      <c r="C2" s="591"/>
      <c r="D2" s="591"/>
      <c r="E2" s="591"/>
    </row>
    <row r="3" spans="1:5" ht="19.5">
      <c r="A3" s="597"/>
      <c r="B3" s="598"/>
      <c r="C3" s="598"/>
      <c r="D3" s="595" t="s">
        <v>419</v>
      </c>
      <c r="E3" s="596"/>
    </row>
    <row r="4" spans="1:5" ht="17.25">
      <c r="A4" s="260"/>
      <c r="B4" s="261"/>
      <c r="C4" s="261"/>
      <c r="D4" s="261"/>
      <c r="E4" s="262"/>
    </row>
    <row r="5" spans="1:5" ht="25.5" customHeight="1">
      <c r="A5" s="263" t="s">
        <v>12</v>
      </c>
      <c r="B5" s="264" t="s">
        <v>11</v>
      </c>
      <c r="C5" s="264" t="s">
        <v>10</v>
      </c>
      <c r="D5" s="264" t="s">
        <v>9</v>
      </c>
      <c r="E5" s="265" t="s">
        <v>202</v>
      </c>
    </row>
    <row r="6" spans="1:5" ht="30" customHeight="1">
      <c r="A6" s="266" t="s">
        <v>13</v>
      </c>
      <c r="B6" s="267" t="s">
        <v>0</v>
      </c>
      <c r="C6" s="267" t="s">
        <v>0</v>
      </c>
      <c r="D6" s="268" t="s">
        <v>0</v>
      </c>
      <c r="E6" s="269" t="s">
        <v>0</v>
      </c>
    </row>
    <row r="7" spans="1:5" ht="30" customHeight="1">
      <c r="A7" s="270" t="s">
        <v>521</v>
      </c>
      <c r="B7" s="271">
        <f>('損益-科目 '!D7+'損益-科目 '!D27)/1000000</f>
        <v>13368.38815</v>
      </c>
      <c r="C7" s="271">
        <f>('損益-科目 '!A7+'損益-科目 '!A27)/1000000</f>
        <v>12703.023843</v>
      </c>
      <c r="D7" s="271">
        <f>(B7-C7)</f>
        <v>665.3643069999998</v>
      </c>
      <c r="E7" s="272">
        <f>(D7/C7)*100</f>
        <v>5.2378419124722715</v>
      </c>
    </row>
    <row r="8" spans="1:5" ht="30" customHeight="1">
      <c r="A8" s="270" t="s">
        <v>522</v>
      </c>
      <c r="B8" s="271">
        <f>('損益-科目 '!D13+'損益-科目 '!D21+'損益-科目 '!D30+'損益-科目 '!D35)/1000000</f>
        <v>12768.933486</v>
      </c>
      <c r="C8" s="271">
        <f>('損益-科目 '!A13+'損益-科目 '!A21+'損益-科目 '!A30+'損益-科目 '!A35)/1000000</f>
        <v>11982.068949</v>
      </c>
      <c r="D8" s="271">
        <f>(B8-C8)</f>
        <v>786.8645369999995</v>
      </c>
      <c r="E8" s="272">
        <f>(D8/C8)*100</f>
        <v>6.5670172684632195</v>
      </c>
    </row>
    <row r="9" spans="1:5" ht="30" customHeight="1">
      <c r="A9" s="270" t="s">
        <v>838</v>
      </c>
      <c r="B9" s="271">
        <f>+B7-B8</f>
        <v>599.4546640000008</v>
      </c>
      <c r="C9" s="271">
        <f>+C7-C8</f>
        <v>720.9548940000004</v>
      </c>
      <c r="D9" s="271">
        <f>(B9-C9)</f>
        <v>-121.50022999999965</v>
      </c>
      <c r="E9" s="272">
        <f>(D9/C9)*100</f>
        <v>-16.852681216420116</v>
      </c>
    </row>
    <row r="10" spans="1:5" ht="35.25" customHeight="1">
      <c r="A10" s="273"/>
      <c r="B10" s="274"/>
      <c r="C10" s="274"/>
      <c r="D10" s="271"/>
      <c r="E10" s="272"/>
    </row>
    <row r="11" spans="1:5" ht="30" customHeight="1">
      <c r="A11" s="266" t="s">
        <v>839</v>
      </c>
      <c r="B11" s="274"/>
      <c r="C11" s="274"/>
      <c r="D11" s="271"/>
      <c r="E11" s="272"/>
    </row>
    <row r="12" spans="1:5" ht="30" customHeight="1">
      <c r="A12" s="270" t="s">
        <v>523</v>
      </c>
      <c r="B12" s="274">
        <f>('盈虧撥補科目'!D12)/1000000</f>
        <v>450</v>
      </c>
      <c r="C12" s="274">
        <f>'盈虧撥補科目'!A12/1000000</f>
        <v>450</v>
      </c>
      <c r="D12" s="271">
        <f>(B12-C12)</f>
        <v>0</v>
      </c>
      <c r="E12" s="272">
        <f>(D12/C12)*100</f>
        <v>0</v>
      </c>
    </row>
    <row r="13" spans="1:5" ht="30" customHeight="1">
      <c r="A13" s="270" t="s">
        <v>524</v>
      </c>
      <c r="B13" s="271">
        <f>'盈虧撥補科目'!D18/1000000</f>
        <v>2775.187298</v>
      </c>
      <c r="C13" s="271">
        <f>'盈虧撥補科目'!A18/1000000</f>
        <v>2112.451577</v>
      </c>
      <c r="D13" s="271">
        <f>(B13-C13)</f>
        <v>662.735721</v>
      </c>
      <c r="E13" s="272">
        <f>(D13/C13)*100</f>
        <v>31.372824268056586</v>
      </c>
    </row>
    <row r="14" spans="1:5" ht="30" customHeight="1">
      <c r="A14" s="270" t="s">
        <v>525</v>
      </c>
      <c r="B14" s="271">
        <f>'盈虧撥補科目'!D31/1000000</f>
        <v>646.653428</v>
      </c>
      <c r="C14" s="271">
        <f>'盈虧撥補科目'!A31/1000000</f>
        <v>820.825816</v>
      </c>
      <c r="D14" s="271">
        <f>(B14-C14)</f>
        <v>-174.17238800000007</v>
      </c>
      <c r="E14" s="272">
        <f>(D14/C14)*100</f>
        <v>-21.219165455682994</v>
      </c>
    </row>
    <row r="15" spans="1:5" ht="33.75" customHeight="1">
      <c r="A15" s="275"/>
      <c r="B15" s="271"/>
      <c r="C15" s="271"/>
      <c r="D15" s="271"/>
      <c r="E15" s="272"/>
    </row>
    <row r="16" spans="1:5" ht="30" customHeight="1">
      <c r="A16" s="266" t="s">
        <v>840</v>
      </c>
      <c r="B16" s="274"/>
      <c r="C16" s="274"/>
      <c r="D16" s="271"/>
      <c r="E16" s="272"/>
    </row>
    <row r="17" spans="1:5" ht="30" customHeight="1">
      <c r="A17" s="275" t="s">
        <v>841</v>
      </c>
      <c r="B17" s="271">
        <f>-'現流科目'!C26/1000000</f>
        <v>1044.613213</v>
      </c>
      <c r="C17" s="271">
        <v>622.72</v>
      </c>
      <c r="D17" s="271">
        <f>(B17-C17)</f>
        <v>421.89321300000006</v>
      </c>
      <c r="E17" s="272">
        <f>(D17/C17)*100</f>
        <v>67.75006632194246</v>
      </c>
    </row>
    <row r="18" spans="1:5" ht="30" customHeight="1">
      <c r="A18" s="275" t="s">
        <v>842</v>
      </c>
      <c r="B18" s="271">
        <v>0</v>
      </c>
      <c r="C18" s="271">
        <v>0</v>
      </c>
      <c r="D18" s="271">
        <v>0</v>
      </c>
      <c r="E18" s="272">
        <v>0</v>
      </c>
    </row>
    <row r="19" spans="1:5" ht="30" customHeight="1">
      <c r="A19" s="275" t="s">
        <v>843</v>
      </c>
      <c r="B19" s="271">
        <v>0</v>
      </c>
      <c r="C19" s="271">
        <v>0</v>
      </c>
      <c r="D19" s="271">
        <f>(B19-C19)</f>
        <v>0</v>
      </c>
      <c r="E19" s="272">
        <v>0</v>
      </c>
    </row>
    <row r="20" spans="1:5" ht="30" customHeight="1">
      <c r="A20" s="275" t="s">
        <v>844</v>
      </c>
      <c r="B20" s="271">
        <f>'現流科目'!C$36/1000000</f>
        <v>551.276905</v>
      </c>
      <c r="C20" s="271">
        <v>638</v>
      </c>
      <c r="D20" s="271">
        <f>(B20-C20)</f>
        <v>-86.72309499999994</v>
      </c>
      <c r="E20" s="272">
        <v>0</v>
      </c>
    </row>
    <row r="21" spans="1:5" ht="35.25" customHeight="1">
      <c r="A21" s="276"/>
      <c r="B21" s="274"/>
      <c r="C21" s="274"/>
      <c r="D21" s="271"/>
      <c r="E21" s="272"/>
    </row>
    <row r="22" spans="1:5" ht="30" customHeight="1">
      <c r="A22" s="277" t="s">
        <v>845</v>
      </c>
      <c r="B22" s="274"/>
      <c r="C22" s="274"/>
      <c r="D22" s="271"/>
      <c r="E22" s="272"/>
    </row>
    <row r="23" spans="1:5" ht="30" customHeight="1">
      <c r="A23" s="275" t="s">
        <v>846</v>
      </c>
      <c r="B23" s="271">
        <f>('資產負債科目'!B8-'資產負債科目'!G8)/1000000</f>
        <v>6854.613215</v>
      </c>
      <c r="C23" s="271">
        <f>('資產負債科目'!D8-'資產負債科目'!I8)/1000000</f>
        <v>6688.963008</v>
      </c>
      <c r="D23" s="271">
        <f>(B23-C23)</f>
        <v>165.6502070000006</v>
      </c>
      <c r="E23" s="272">
        <f>(D23/C23)*100</f>
        <v>2.476470669696976</v>
      </c>
    </row>
    <row r="24" spans="1:5" ht="30" customHeight="1">
      <c r="A24" s="275" t="s">
        <v>847</v>
      </c>
      <c r="B24" s="271">
        <f>'資產負債科目'!B16/1000000</f>
        <v>7114.402822</v>
      </c>
      <c r="C24" s="271">
        <f>'資產負債科目'!D16/1000000</f>
        <v>6628.834049</v>
      </c>
      <c r="D24" s="271">
        <f>(B24-C24)</f>
        <v>485.56877299999996</v>
      </c>
      <c r="E24" s="272">
        <f>(D24/C24)*100</f>
        <v>7.325100755437541</v>
      </c>
    </row>
    <row r="25" spans="1:5" ht="30" customHeight="1">
      <c r="A25" s="275" t="s">
        <v>848</v>
      </c>
      <c r="B25" s="271">
        <f>'資產負債科目'!G12/1000000</f>
        <v>442.783858</v>
      </c>
      <c r="C25" s="271">
        <f>'資產負債科目'!I12/1000000</f>
        <v>524.175436</v>
      </c>
      <c r="D25" s="271">
        <f>(B25-C25)</f>
        <v>-81.39157799999998</v>
      </c>
      <c r="E25" s="272">
        <f>(D25/C25)*100</f>
        <v>-15.527545247274805</v>
      </c>
    </row>
    <row r="26" spans="1:5" ht="30" customHeight="1">
      <c r="A26" s="275" t="s">
        <v>849</v>
      </c>
      <c r="B26" s="271">
        <f>'資產負債科目'!G19/1000000</f>
        <v>12056.008096</v>
      </c>
      <c r="C26" s="271">
        <f>'資產負債科目'!I19/1000000</f>
        <v>11352.08385</v>
      </c>
      <c r="D26" s="271">
        <f>(B26-C26)</f>
        <v>703.9242459999987</v>
      </c>
      <c r="E26" s="272">
        <f>(D26/C26)*100</f>
        <v>6.200837267423801</v>
      </c>
    </row>
    <row r="27" spans="1:5" ht="17.25" customHeight="1">
      <c r="A27" s="592"/>
      <c r="B27" s="593"/>
      <c r="C27" s="593"/>
      <c r="D27" s="593"/>
      <c r="E27" s="594"/>
    </row>
    <row r="28" spans="1:5" ht="16.5" customHeight="1">
      <c r="A28" s="6"/>
      <c r="B28" s="3"/>
      <c r="C28" s="4"/>
      <c r="D28" s="3"/>
      <c r="E28" s="5"/>
    </row>
  </sheetData>
  <sheetProtection/>
  <mergeCells count="5">
    <mergeCell ref="A1:E1"/>
    <mergeCell ref="A2:E2"/>
    <mergeCell ref="A27:E27"/>
    <mergeCell ref="D3:E3"/>
    <mergeCell ref="A3:C3"/>
  </mergeCells>
  <printOptions horizontalCentered="1" verticalCentered="1"/>
  <pageMargins left="0.7874015748031497" right="0.7874015748031497" top="0.5905511811023623" bottom="0.5905511811023623" header="0" footer="0.31496062992125984"/>
  <pageSetup firstPageNumber="19" useFirstPageNumber="1" horizontalDpi="600" verticalDpi="600" orientation="portrait" paperSize="9" r:id="rId1"/>
  <headerFooter alignWithMargins="0">
    <oddFooter xml:space="preserve">&amp;C&amp;"標楷體,標準" &amp;"新細明體,標準"&amp;P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18" sqref="I18"/>
    </sheetView>
  </sheetViews>
  <sheetFormatPr defaultColWidth="8.75390625" defaultRowHeight="16.5"/>
  <cols>
    <col min="1" max="1" width="11.25390625" style="199" customWidth="1"/>
    <col min="2" max="2" width="4.125" style="204" customWidth="1"/>
    <col min="3" max="3" width="21.875" style="199" customWidth="1"/>
    <col min="4" max="4" width="12.125" style="199" customWidth="1"/>
    <col min="5" max="5" width="4.125" style="204" customWidth="1"/>
    <col min="6" max="6" width="11.625" style="199" customWidth="1"/>
    <col min="7" max="7" width="4.125" style="204" customWidth="1"/>
    <col min="8" max="8" width="11.375" style="199" customWidth="1"/>
    <col min="9" max="9" width="4.125" style="199" customWidth="1"/>
    <col min="10" max="16384" width="8.75390625" style="204" customWidth="1"/>
  </cols>
  <sheetData>
    <row r="1" spans="1:9" ht="26.25" customHeight="1">
      <c r="A1" s="599" t="s">
        <v>182</v>
      </c>
      <c r="B1" s="599"/>
      <c r="C1" s="599"/>
      <c r="D1" s="599"/>
      <c r="E1" s="599"/>
      <c r="F1" s="599"/>
      <c r="G1" s="599"/>
      <c r="H1" s="599"/>
      <c r="I1" s="599"/>
    </row>
    <row r="2" spans="1:9" ht="26.25" customHeight="1">
      <c r="A2" s="198"/>
      <c r="B2" s="198"/>
      <c r="C2" s="613" t="s">
        <v>418</v>
      </c>
      <c r="D2" s="599"/>
      <c r="E2" s="599"/>
      <c r="F2" s="599"/>
      <c r="G2" s="625" t="s">
        <v>470</v>
      </c>
      <c r="H2" s="626"/>
      <c r="I2" s="626"/>
    </row>
    <row r="3" spans="3:9" ht="26.25" customHeight="1">
      <c r="C3" s="206"/>
      <c r="D3" s="207" t="s">
        <v>567</v>
      </c>
      <c r="E3" s="208"/>
      <c r="F3" s="559"/>
      <c r="H3" s="625" t="s">
        <v>417</v>
      </c>
      <c r="I3" s="626"/>
    </row>
    <row r="4" spans="1:9" ht="19.5" customHeight="1">
      <c r="A4" s="602" t="s">
        <v>7</v>
      </c>
      <c r="B4" s="603"/>
      <c r="C4" s="627" t="s">
        <v>835</v>
      </c>
      <c r="D4" s="607" t="s">
        <v>331</v>
      </c>
      <c r="E4" s="603"/>
      <c r="F4" s="603"/>
      <c r="G4" s="603"/>
      <c r="H4" s="603"/>
      <c r="I4" s="603"/>
    </row>
    <row r="5" spans="1:9" ht="19.5" customHeight="1">
      <c r="A5" s="608" t="s">
        <v>203</v>
      </c>
      <c r="B5" s="610" t="s">
        <v>8</v>
      </c>
      <c r="C5" s="610"/>
      <c r="D5" s="608" t="s">
        <v>73</v>
      </c>
      <c r="E5" s="612"/>
      <c r="F5" s="608" t="s">
        <v>332</v>
      </c>
      <c r="G5" s="612"/>
      <c r="H5" s="608" t="s">
        <v>333</v>
      </c>
      <c r="I5" s="612"/>
    </row>
    <row r="6" spans="1:9" ht="19.5" customHeight="1">
      <c r="A6" s="609"/>
      <c r="B6" s="611"/>
      <c r="C6" s="611"/>
      <c r="D6" s="210" t="s">
        <v>184</v>
      </c>
      <c r="E6" s="211" t="s">
        <v>8</v>
      </c>
      <c r="F6" s="555" t="s">
        <v>184</v>
      </c>
      <c r="G6" s="211" t="s">
        <v>8</v>
      </c>
      <c r="H6" s="210" t="s">
        <v>184</v>
      </c>
      <c r="I6" s="211" t="s">
        <v>8</v>
      </c>
    </row>
    <row r="7" spans="1:9" ht="21.75" customHeight="1">
      <c r="A7" s="200">
        <f>SUM(A8:A10)</f>
        <v>2562467327</v>
      </c>
      <c r="B7" s="212">
        <f>(A7/A$7)*100</f>
        <v>100</v>
      </c>
      <c r="C7" s="213" t="s">
        <v>216</v>
      </c>
      <c r="D7" s="200">
        <f>SUM(D8:D10)</f>
        <v>3225203048</v>
      </c>
      <c r="E7" s="212">
        <f>(D7/D$7)*100</f>
        <v>100</v>
      </c>
      <c r="F7" s="200">
        <f>F8+F9+F10</f>
        <v>3019143000</v>
      </c>
      <c r="G7" s="212">
        <f>(F7/F$7)*100</f>
        <v>100</v>
      </c>
      <c r="H7" s="214">
        <f>D7-F7</f>
        <v>206060048</v>
      </c>
      <c r="I7" s="215">
        <f>H7/F7*100</f>
        <v>6.825117193852693</v>
      </c>
    </row>
    <row r="8" spans="1:9" ht="21.75" customHeight="1">
      <c r="A8" s="201">
        <v>761145922</v>
      </c>
      <c r="B8" s="216">
        <f>(A8/A$7)*100</f>
        <v>29.703634227059943</v>
      </c>
      <c r="C8" s="217" t="s">
        <v>26</v>
      </c>
      <c r="D8" s="201">
        <f>'盈虧撥補'!B8</f>
        <v>751552693</v>
      </c>
      <c r="E8" s="216">
        <f>(D8/D$7)*100</f>
        <v>23.302492333499742</v>
      </c>
      <c r="F8" s="201">
        <v>659252000</v>
      </c>
      <c r="G8" s="216">
        <f>(F8/F$7)*100</f>
        <v>21.835732855316888</v>
      </c>
      <c r="H8" s="218">
        <f aca="true" t="shared" si="0" ref="H8:H36">D8-F8</f>
        <v>92300693</v>
      </c>
      <c r="I8" s="219">
        <f>H8/F8*100</f>
        <v>14.000821082074836</v>
      </c>
    </row>
    <row r="9" spans="1:9" ht="21.75" customHeight="1">
      <c r="A9" s="201">
        <v>1560325791</v>
      </c>
      <c r="B9" s="216">
        <f>(A9/A$7)*100</f>
        <v>60.891538969464484</v>
      </c>
      <c r="C9" s="217" t="s">
        <v>15</v>
      </c>
      <c r="D9" s="220">
        <f>'盈虧撥補'!B9</f>
        <v>1771597355</v>
      </c>
      <c r="E9" s="216">
        <f>(D9/D$7)*100</f>
        <v>54.929792904003236</v>
      </c>
      <c r="F9" s="201">
        <v>1657838000</v>
      </c>
      <c r="G9" s="221">
        <f>(F9/F$7)*100</f>
        <v>54.91088033922209</v>
      </c>
      <c r="H9" s="218">
        <f t="shared" si="0"/>
        <v>113759355</v>
      </c>
      <c r="I9" s="222">
        <f>H9/F9*100</f>
        <v>6.8619102107684835</v>
      </c>
    </row>
    <row r="10" spans="1:9" ht="21.75" customHeight="1">
      <c r="A10" s="201">
        <v>240995614</v>
      </c>
      <c r="B10" s="216">
        <f>(A10/A$7)*100</f>
        <v>9.40482680347557</v>
      </c>
      <c r="C10" s="217" t="s">
        <v>544</v>
      </c>
      <c r="D10" s="220">
        <f>'盈虧撥補'!B10</f>
        <v>702053000</v>
      </c>
      <c r="E10" s="216">
        <f>(D10/D$7)*100</f>
        <v>21.767714762497025</v>
      </c>
      <c r="F10" s="201">
        <v>702053000</v>
      </c>
      <c r="G10" s="221">
        <f>(F10/F$7)*100</f>
        <v>23.25338680546102</v>
      </c>
      <c r="H10" s="218">
        <f t="shared" si="0"/>
        <v>0</v>
      </c>
      <c r="I10" s="219">
        <v>0</v>
      </c>
    </row>
    <row r="11" spans="1:9" ht="21.75" customHeight="1">
      <c r="A11" s="202">
        <f>A12+A15+A18</f>
        <v>2562467327</v>
      </c>
      <c r="B11" s="216">
        <f aca="true" t="shared" si="1" ref="B11:B23">(A11/A$7)*100</f>
        <v>100</v>
      </c>
      <c r="C11" s="223" t="s">
        <v>16</v>
      </c>
      <c r="D11" s="202">
        <f>D12+D15+D18</f>
        <v>3225203048</v>
      </c>
      <c r="E11" s="221">
        <f>D11/D$11*100</f>
        <v>100</v>
      </c>
      <c r="F11" s="202">
        <f>F12+F15+F18</f>
        <v>3019143000</v>
      </c>
      <c r="G11" s="221">
        <f>F11/F$11*100</f>
        <v>100</v>
      </c>
      <c r="H11" s="224">
        <f t="shared" si="0"/>
        <v>206060048</v>
      </c>
      <c r="I11" s="222">
        <f>H11/F11*100</f>
        <v>6.825117193852693</v>
      </c>
    </row>
    <row r="12" spans="1:9" ht="21.75" customHeight="1">
      <c r="A12" s="201">
        <f>A13+A14</f>
        <v>450000000</v>
      </c>
      <c r="B12" s="216">
        <f t="shared" si="1"/>
        <v>17.561199522759807</v>
      </c>
      <c r="C12" s="217" t="s">
        <v>337</v>
      </c>
      <c r="D12" s="201">
        <f>SUM(D13:D14)</f>
        <v>450000000</v>
      </c>
      <c r="E12" s="221">
        <f aca="true" t="shared" si="2" ref="E12:E23">D12/D$11*100</f>
        <v>13.95260990712049</v>
      </c>
      <c r="F12" s="201">
        <f>F13</f>
        <v>450000000</v>
      </c>
      <c r="G12" s="221">
        <f aca="true" t="shared" si="3" ref="G12:G23">F12/F$11*100</f>
        <v>14.904891884882565</v>
      </c>
      <c r="H12" s="201">
        <f t="shared" si="0"/>
        <v>0</v>
      </c>
      <c r="I12" s="225">
        <v>0</v>
      </c>
    </row>
    <row r="13" spans="1:9" ht="21.75" customHeight="1">
      <c r="A13" s="201">
        <v>450000000</v>
      </c>
      <c r="B13" s="216">
        <f t="shared" si="1"/>
        <v>17.561199522759807</v>
      </c>
      <c r="C13" s="226" t="s">
        <v>416</v>
      </c>
      <c r="D13" s="201">
        <f>'盈虧撥補'!B13</f>
        <v>450000000</v>
      </c>
      <c r="E13" s="221">
        <f t="shared" si="2"/>
        <v>13.95260990712049</v>
      </c>
      <c r="F13" s="201">
        <v>450000000</v>
      </c>
      <c r="G13" s="221">
        <f t="shared" si="3"/>
        <v>14.904891884882565</v>
      </c>
      <c r="H13" s="201">
        <f t="shared" si="0"/>
        <v>0</v>
      </c>
      <c r="I13" s="225">
        <v>0</v>
      </c>
    </row>
    <row r="14" spans="1:9" ht="21.75" customHeight="1">
      <c r="A14" s="201">
        <v>0</v>
      </c>
      <c r="B14" s="216">
        <f t="shared" si="1"/>
        <v>0</v>
      </c>
      <c r="C14" s="226" t="s">
        <v>461</v>
      </c>
      <c r="D14" s="201">
        <f>'盈虧撥補'!B14</f>
        <v>0</v>
      </c>
      <c r="E14" s="216">
        <f t="shared" si="2"/>
        <v>0</v>
      </c>
      <c r="F14" s="201">
        <v>0</v>
      </c>
      <c r="G14" s="216">
        <v>0</v>
      </c>
      <c r="H14" s="225">
        <f t="shared" si="0"/>
        <v>0</v>
      </c>
      <c r="I14" s="225">
        <v>0</v>
      </c>
    </row>
    <row r="15" spans="1:9" ht="21.75" customHeight="1">
      <c r="A15" s="201">
        <f>A16+A17</f>
        <v>15750</v>
      </c>
      <c r="B15" s="216">
        <f t="shared" si="1"/>
        <v>0.0006146419832965933</v>
      </c>
      <c r="C15" s="227" t="s">
        <v>17</v>
      </c>
      <c r="D15" s="201">
        <f>SUM(D16:D17)</f>
        <v>15750</v>
      </c>
      <c r="E15" s="216">
        <f t="shared" si="2"/>
        <v>0.0004883413467492171</v>
      </c>
      <c r="F15" s="201">
        <f>F16</f>
        <v>18000</v>
      </c>
      <c r="G15" s="216">
        <f t="shared" si="3"/>
        <v>0.0005961956753953025</v>
      </c>
      <c r="H15" s="218">
        <f t="shared" si="0"/>
        <v>-2250</v>
      </c>
      <c r="I15" s="219">
        <f>H15/F15*100</f>
        <v>-12.5</v>
      </c>
    </row>
    <row r="16" spans="1:9" ht="21.75" customHeight="1">
      <c r="A16" s="201">
        <v>15750</v>
      </c>
      <c r="B16" s="216">
        <f t="shared" si="1"/>
        <v>0.0006146419832965933</v>
      </c>
      <c r="C16" s="226" t="s">
        <v>416</v>
      </c>
      <c r="D16" s="201">
        <f>'盈虧撥補'!B16</f>
        <v>15750</v>
      </c>
      <c r="E16" s="216">
        <f t="shared" si="2"/>
        <v>0.0004883413467492171</v>
      </c>
      <c r="F16" s="201">
        <v>18000</v>
      </c>
      <c r="G16" s="216">
        <f t="shared" si="3"/>
        <v>0.0005961956753953025</v>
      </c>
      <c r="H16" s="218">
        <f t="shared" si="0"/>
        <v>-2250</v>
      </c>
      <c r="I16" s="219">
        <f>H16/F16*100</f>
        <v>-12.5</v>
      </c>
    </row>
    <row r="17" spans="1:9" ht="21.75" customHeight="1">
      <c r="A17" s="201">
        <v>0</v>
      </c>
      <c r="B17" s="216">
        <f t="shared" si="1"/>
        <v>0</v>
      </c>
      <c r="C17" s="226" t="s">
        <v>461</v>
      </c>
      <c r="D17" s="201">
        <f>'盈虧撥補'!B17</f>
        <v>0</v>
      </c>
      <c r="E17" s="216">
        <f t="shared" si="2"/>
        <v>0</v>
      </c>
      <c r="F17" s="201">
        <v>0</v>
      </c>
      <c r="G17" s="216">
        <f t="shared" si="3"/>
        <v>0</v>
      </c>
      <c r="H17" s="225">
        <f t="shared" si="0"/>
        <v>0</v>
      </c>
      <c r="I17" s="225">
        <v>0</v>
      </c>
    </row>
    <row r="18" spans="1:9" ht="21.75" customHeight="1">
      <c r="A18" s="201">
        <f>SUM(A19:A23)</f>
        <v>2112451577</v>
      </c>
      <c r="B18" s="216">
        <f t="shared" si="1"/>
        <v>82.43818583525689</v>
      </c>
      <c r="C18" s="217" t="s">
        <v>18</v>
      </c>
      <c r="D18" s="201">
        <f>SUM(D19:D23)</f>
        <v>2775187298</v>
      </c>
      <c r="E18" s="221">
        <f t="shared" si="2"/>
        <v>86.04690175153276</v>
      </c>
      <c r="F18" s="201">
        <f>SUM(F19:F23)</f>
        <v>2569125000</v>
      </c>
      <c r="G18" s="221">
        <f t="shared" si="3"/>
        <v>85.09451191944204</v>
      </c>
      <c r="H18" s="218">
        <f t="shared" si="0"/>
        <v>206062298</v>
      </c>
      <c r="I18" s="219">
        <f>H18/F18*100</f>
        <v>8.020719038583175</v>
      </c>
    </row>
    <row r="19" spans="1:9" ht="21.75" customHeight="1">
      <c r="A19" s="201">
        <v>266309105</v>
      </c>
      <c r="B19" s="216">
        <f t="shared" si="1"/>
        <v>10.392682950294647</v>
      </c>
      <c r="C19" s="217" t="s">
        <v>392</v>
      </c>
      <c r="D19" s="201">
        <f>'盈虧撥補'!B19</f>
        <v>57237998</v>
      </c>
      <c r="E19" s="216">
        <f t="shared" si="2"/>
        <v>1.7747099065745393</v>
      </c>
      <c r="F19" s="201">
        <v>0</v>
      </c>
      <c r="G19" s="216">
        <f t="shared" si="3"/>
        <v>0</v>
      </c>
      <c r="H19" s="225">
        <f t="shared" si="0"/>
        <v>57237998</v>
      </c>
      <c r="I19" s="225">
        <v>0</v>
      </c>
    </row>
    <row r="20" spans="1:9" ht="21.75" customHeight="1">
      <c r="A20" s="201">
        <v>0</v>
      </c>
      <c r="B20" s="216">
        <v>0</v>
      </c>
      <c r="C20" s="217" t="s">
        <v>19</v>
      </c>
      <c r="D20" s="201">
        <v>0</v>
      </c>
      <c r="E20" s="216">
        <v>0</v>
      </c>
      <c r="F20" s="201">
        <v>0</v>
      </c>
      <c r="G20" s="216">
        <v>0</v>
      </c>
      <c r="H20" s="225">
        <f t="shared" si="0"/>
        <v>0</v>
      </c>
      <c r="I20" s="225">
        <v>0</v>
      </c>
    </row>
    <row r="21" spans="1:9" ht="21.75" customHeight="1">
      <c r="A21" s="201">
        <v>74545117</v>
      </c>
      <c r="B21" s="216">
        <f t="shared" si="1"/>
        <v>2.909114829076609</v>
      </c>
      <c r="C21" s="217" t="s">
        <v>20</v>
      </c>
      <c r="D21" s="201">
        <f>'盈虧撥補'!B21</f>
        <v>75146948</v>
      </c>
      <c r="E21" s="216">
        <f t="shared" si="2"/>
        <v>2.329991224788152</v>
      </c>
      <c r="F21" s="201">
        <v>65897000</v>
      </c>
      <c r="G21" s="216">
        <f t="shared" si="3"/>
        <v>2.1826392456402366</v>
      </c>
      <c r="H21" s="218">
        <f t="shared" si="0"/>
        <v>9249948</v>
      </c>
      <c r="I21" s="219">
        <f>H21/F21*100</f>
        <v>14.036978921650453</v>
      </c>
    </row>
    <row r="22" spans="1:9" ht="21.75" customHeight="1">
      <c r="A22" s="201">
        <v>0</v>
      </c>
      <c r="B22" s="216">
        <v>0</v>
      </c>
      <c r="C22" s="217" t="s">
        <v>21</v>
      </c>
      <c r="D22" s="201">
        <v>0</v>
      </c>
      <c r="E22" s="216">
        <v>0</v>
      </c>
      <c r="F22" s="201">
        <v>0</v>
      </c>
      <c r="G22" s="216">
        <f t="shared" si="3"/>
        <v>0</v>
      </c>
      <c r="H22" s="228">
        <f t="shared" si="0"/>
        <v>0</v>
      </c>
      <c r="I22" s="228">
        <v>0</v>
      </c>
    </row>
    <row r="23" spans="1:9" ht="21.75" customHeight="1">
      <c r="A23" s="201">
        <v>1771597355</v>
      </c>
      <c r="B23" s="216">
        <f t="shared" si="1"/>
        <v>69.13638805588563</v>
      </c>
      <c r="C23" s="217" t="s">
        <v>22</v>
      </c>
      <c r="D23" s="201">
        <f>'盈虧撥補'!B23</f>
        <v>2642802352</v>
      </c>
      <c r="E23" s="221">
        <f t="shared" si="2"/>
        <v>81.94220062017007</v>
      </c>
      <c r="F23" s="201">
        <v>2503228000</v>
      </c>
      <c r="G23" s="221">
        <f t="shared" si="3"/>
        <v>82.9118726738018</v>
      </c>
      <c r="H23" s="218">
        <f t="shared" si="0"/>
        <v>139574352</v>
      </c>
      <c r="I23" s="219">
        <f>H23/F23*100</f>
        <v>5.575774639785109</v>
      </c>
    </row>
    <row r="24" spans="1:9" ht="21.75" customHeight="1">
      <c r="A24" s="202">
        <f>A25+A26</f>
        <v>820825816</v>
      </c>
      <c r="B24" s="221">
        <f>A24/A$24*100</f>
        <v>100</v>
      </c>
      <c r="C24" s="223" t="s">
        <v>23</v>
      </c>
      <c r="D24" s="202">
        <f>D25+D26</f>
        <v>706653428</v>
      </c>
      <c r="E24" s="221">
        <f>D24/D$24*100</f>
        <v>100</v>
      </c>
      <c r="F24" s="202">
        <f>F25+F26</f>
        <v>1034746000</v>
      </c>
      <c r="G24" s="221">
        <f>F24/F$24*100</f>
        <v>100</v>
      </c>
      <c r="H24" s="224">
        <f t="shared" si="0"/>
        <v>-328092572</v>
      </c>
      <c r="I24" s="222">
        <f>H24/F24*100</f>
        <v>-31.70754677959615</v>
      </c>
    </row>
    <row r="25" spans="1:9" ht="21.75" customHeight="1">
      <c r="A25" s="201">
        <v>40191028</v>
      </c>
      <c r="B25" s="221">
        <f>A25/A$24*100</f>
        <v>4.896413735603073</v>
      </c>
      <c r="C25" s="217" t="s">
        <v>24</v>
      </c>
      <c r="D25" s="201">
        <f>'盈虧撥補'!B26</f>
        <v>152098029</v>
      </c>
      <c r="E25" s="221">
        <f>D25/D$24*100</f>
        <v>21.523709214922253</v>
      </c>
      <c r="F25" s="201">
        <v>243929000</v>
      </c>
      <c r="G25" s="221">
        <f>F25/F$24*100</f>
        <v>23.57380458585972</v>
      </c>
      <c r="H25" s="218">
        <f t="shared" si="0"/>
        <v>-91830971</v>
      </c>
      <c r="I25" s="222">
        <f>H25/F25*100</f>
        <v>-37.64659839543474</v>
      </c>
    </row>
    <row r="26" spans="1:9" ht="21.75" customHeight="1">
      <c r="A26" s="201">
        <v>780634788</v>
      </c>
      <c r="B26" s="221">
        <f>A26/A$24*100</f>
        <v>95.10358626439694</v>
      </c>
      <c r="C26" s="217" t="s">
        <v>25</v>
      </c>
      <c r="D26" s="201">
        <f>'盈虧撥補'!B27</f>
        <v>554555399</v>
      </c>
      <c r="E26" s="221">
        <f>D26/D$24*100</f>
        <v>78.47629078507774</v>
      </c>
      <c r="F26" s="201">
        <v>790817000</v>
      </c>
      <c r="G26" s="221">
        <f>F26/F$24*100</f>
        <v>76.42619541414028</v>
      </c>
      <c r="H26" s="218">
        <f t="shared" si="0"/>
        <v>-236261601</v>
      </c>
      <c r="I26" s="219">
        <f>H26/F26*100</f>
        <v>-29.87563507107207</v>
      </c>
    </row>
    <row r="27" spans="1:9" ht="15.75" customHeight="1">
      <c r="A27" s="201"/>
      <c r="B27" s="221"/>
      <c r="C27" s="217"/>
      <c r="D27" s="201"/>
      <c r="E27" s="221"/>
      <c r="F27" s="201"/>
      <c r="G27" s="221"/>
      <c r="H27" s="218"/>
      <c r="I27" s="222"/>
    </row>
    <row r="28" spans="1:9" ht="21.75" customHeight="1">
      <c r="A28" s="202">
        <f>SUM(A29:A31)</f>
        <v>820825816</v>
      </c>
      <c r="B28" s="221">
        <f>A28/A$28*100</f>
        <v>100</v>
      </c>
      <c r="C28" s="223" t="s">
        <v>67</v>
      </c>
      <c r="D28" s="202">
        <f>D29+D30+D31</f>
        <v>706653428</v>
      </c>
      <c r="E28" s="221">
        <f>D28/D$28*100</f>
        <v>100</v>
      </c>
      <c r="F28" s="202">
        <f>SUM(F29:F31)</f>
        <v>1034746000</v>
      </c>
      <c r="G28" s="221">
        <f>F28/F$28*100</f>
        <v>100</v>
      </c>
      <c r="H28" s="224">
        <f t="shared" si="0"/>
        <v>-328092572</v>
      </c>
      <c r="I28" s="222">
        <f>H28/F28*100</f>
        <v>-31.70754677959615</v>
      </c>
    </row>
    <row r="29" spans="1:9" ht="21.75" customHeight="1">
      <c r="A29" s="201">
        <v>0</v>
      </c>
      <c r="B29" s="216">
        <v>0</v>
      </c>
      <c r="C29" s="217" t="s">
        <v>27</v>
      </c>
      <c r="D29" s="201">
        <v>0</v>
      </c>
      <c r="E29" s="216">
        <v>0</v>
      </c>
      <c r="F29" s="201">
        <v>0</v>
      </c>
      <c r="G29" s="201">
        <v>0</v>
      </c>
      <c r="H29" s="201">
        <v>0</v>
      </c>
      <c r="I29" s="216">
        <v>0</v>
      </c>
    </row>
    <row r="30" spans="1:9" ht="21.75" customHeight="1">
      <c r="A30" s="201">
        <v>0</v>
      </c>
      <c r="B30" s="216">
        <v>0</v>
      </c>
      <c r="C30" s="217" t="s">
        <v>28</v>
      </c>
      <c r="D30" s="201">
        <f>'盈虧撥補'!B31</f>
        <v>60000000</v>
      </c>
      <c r="E30" s="216">
        <v>0</v>
      </c>
      <c r="F30" s="201">
        <v>60000000</v>
      </c>
      <c r="G30" s="201">
        <v>0</v>
      </c>
      <c r="H30" s="201">
        <v>0</v>
      </c>
      <c r="I30" s="216">
        <v>0</v>
      </c>
    </row>
    <row r="31" spans="1:9" ht="21.75" customHeight="1">
      <c r="A31" s="201">
        <f>SUM(A32:A36)</f>
        <v>820825816</v>
      </c>
      <c r="B31" s="221">
        <f>A31/A$28*100</f>
        <v>100</v>
      </c>
      <c r="C31" s="217" t="s">
        <v>252</v>
      </c>
      <c r="D31" s="201">
        <f>SUM(D32:D36)</f>
        <v>646653428</v>
      </c>
      <c r="E31" s="221">
        <f aca="true" t="shared" si="4" ref="E31:E36">D31/D$28*100</f>
        <v>91.50927489734049</v>
      </c>
      <c r="F31" s="201">
        <f>SUM(F32:F36)</f>
        <v>974746000</v>
      </c>
      <c r="G31" s="221">
        <f aca="true" t="shared" si="5" ref="G31:G36">F31/F$28*100</f>
        <v>94.20147553119315</v>
      </c>
      <c r="H31" s="218">
        <f t="shared" si="0"/>
        <v>-328092572</v>
      </c>
      <c r="I31" s="222">
        <f>H31/F31*100</f>
        <v>-33.65928888141116</v>
      </c>
    </row>
    <row r="32" spans="1:9" ht="21.75" customHeight="1">
      <c r="A32" s="201">
        <v>25313491</v>
      </c>
      <c r="B32" s="216">
        <f>A32/A$28*100</f>
        <v>3.083905319079292</v>
      </c>
      <c r="C32" s="217" t="s">
        <v>29</v>
      </c>
      <c r="D32" s="201">
        <f>'盈虧撥補'!B33</f>
        <v>57237998</v>
      </c>
      <c r="E32" s="216">
        <f t="shared" si="4"/>
        <v>8.099868440742922</v>
      </c>
      <c r="F32" s="201">
        <v>0</v>
      </c>
      <c r="G32" s="216">
        <f t="shared" si="5"/>
        <v>0</v>
      </c>
      <c r="H32" s="216">
        <f t="shared" si="0"/>
        <v>57237998</v>
      </c>
      <c r="I32" s="216">
        <v>0</v>
      </c>
    </row>
    <row r="33" spans="1:9" ht="15" customHeight="1">
      <c r="A33" s="201">
        <v>0</v>
      </c>
      <c r="B33" s="216">
        <v>0</v>
      </c>
      <c r="C33" s="217" t="s">
        <v>30</v>
      </c>
      <c r="D33" s="201">
        <f>'盈虧撥補'!B34</f>
        <v>0</v>
      </c>
      <c r="E33" s="216">
        <f t="shared" si="4"/>
        <v>0</v>
      </c>
      <c r="F33" s="201">
        <v>0</v>
      </c>
      <c r="G33" s="216">
        <f t="shared" si="5"/>
        <v>0</v>
      </c>
      <c r="H33" s="216">
        <f t="shared" si="0"/>
        <v>0</v>
      </c>
      <c r="I33" s="216">
        <v>0</v>
      </c>
    </row>
    <row r="34" spans="1:9" ht="15" customHeight="1">
      <c r="A34" s="201">
        <v>0</v>
      </c>
      <c r="B34" s="216">
        <v>0</v>
      </c>
      <c r="C34" s="217" t="s">
        <v>31</v>
      </c>
      <c r="D34" s="201">
        <f>'盈虧撥補'!B35</f>
        <v>0</v>
      </c>
      <c r="E34" s="216">
        <f t="shared" si="4"/>
        <v>0</v>
      </c>
      <c r="F34" s="201">
        <v>0</v>
      </c>
      <c r="G34" s="216">
        <f t="shared" si="5"/>
        <v>0</v>
      </c>
      <c r="H34" s="216">
        <f t="shared" si="0"/>
        <v>0</v>
      </c>
      <c r="I34" s="216">
        <v>0</v>
      </c>
    </row>
    <row r="35" spans="1:9" ht="21.75" customHeight="1">
      <c r="A35" s="201">
        <v>240995614</v>
      </c>
      <c r="B35" s="216">
        <v>0</v>
      </c>
      <c r="C35" s="217" t="s">
        <v>32</v>
      </c>
      <c r="D35" s="201">
        <f>'盈虧撥補'!B36</f>
        <v>0</v>
      </c>
      <c r="E35" s="216">
        <f t="shared" si="4"/>
        <v>0</v>
      </c>
      <c r="F35" s="201">
        <v>0</v>
      </c>
      <c r="G35" s="216">
        <f t="shared" si="5"/>
        <v>0</v>
      </c>
      <c r="H35" s="216">
        <f t="shared" si="0"/>
        <v>0</v>
      </c>
      <c r="I35" s="216">
        <v>0</v>
      </c>
    </row>
    <row r="36" spans="1:9" ht="21.75" customHeight="1">
      <c r="A36" s="203">
        <v>554516711</v>
      </c>
      <c r="B36" s="229">
        <f>A36/A$28*100</f>
        <v>67.5559540393403</v>
      </c>
      <c r="C36" s="230" t="s">
        <v>33</v>
      </c>
      <c r="D36" s="203">
        <f>'盈虧撥補'!B37</f>
        <v>589415430</v>
      </c>
      <c r="E36" s="229">
        <f t="shared" si="4"/>
        <v>83.40940645659755</v>
      </c>
      <c r="F36" s="203">
        <v>974746000</v>
      </c>
      <c r="G36" s="229">
        <f t="shared" si="5"/>
        <v>94.20147553119315</v>
      </c>
      <c r="H36" s="231">
        <f t="shared" si="0"/>
        <v>-385330570</v>
      </c>
      <c r="I36" s="232">
        <f>H36/F36*100</f>
        <v>-39.53138253452694</v>
      </c>
    </row>
  </sheetData>
  <sheetProtection/>
  <mergeCells count="12">
    <mergeCell ref="A1:I1"/>
    <mergeCell ref="A4:B4"/>
    <mergeCell ref="C4:C6"/>
    <mergeCell ref="D4:I4"/>
    <mergeCell ref="A5:A6"/>
    <mergeCell ref="B5:B6"/>
    <mergeCell ref="D5:E5"/>
    <mergeCell ref="F5:G5"/>
    <mergeCell ref="H5:I5"/>
    <mergeCell ref="G2:I2"/>
    <mergeCell ref="H3:I3"/>
    <mergeCell ref="C2:F2"/>
  </mergeCells>
  <printOptions horizontalCentered="1" verticalCentered="1"/>
  <pageMargins left="0.7874015748031497" right="0.7874015748031497" top="0.5905511811023623" bottom="0.5905511811023623" header="0" footer="0.31496062992125984"/>
  <pageSetup firstPageNumber="25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73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7" sqref="D7"/>
    </sheetView>
  </sheetViews>
  <sheetFormatPr defaultColWidth="8.75390625" defaultRowHeight="16.5"/>
  <cols>
    <col min="1" max="1" width="26.375" style="235" customWidth="1"/>
    <col min="2" max="2" width="13.50390625" style="235" customWidth="1"/>
    <col min="3" max="3" width="6.625" style="235" customWidth="1"/>
    <col min="4" max="4" width="12.625" style="235" customWidth="1"/>
    <col min="5" max="5" width="6.625" style="235" customWidth="1"/>
    <col min="6" max="6" width="12.625" style="235" customWidth="1"/>
    <col min="7" max="7" width="6.625" style="235" customWidth="1"/>
    <col min="8" max="8" width="15.625" style="235" customWidth="1"/>
    <col min="9" max="9" width="5.625" style="235" customWidth="1"/>
    <col min="10" max="10" width="15.625" style="235" customWidth="1"/>
    <col min="11" max="11" width="5.625" style="235" customWidth="1"/>
    <col min="12" max="12" width="15.625" style="235" customWidth="1"/>
    <col min="13" max="13" width="5.625" style="235" customWidth="1"/>
    <col min="14" max="14" width="15.625" style="235" customWidth="1"/>
    <col min="15" max="15" width="5.625" style="235" customWidth="1"/>
    <col min="16" max="16384" width="8.75390625" style="235" customWidth="1"/>
  </cols>
  <sheetData>
    <row r="1" spans="6:10" ht="21">
      <c r="F1" s="278"/>
      <c r="G1" s="279" t="s">
        <v>422</v>
      </c>
      <c r="H1" s="280" t="s">
        <v>423</v>
      </c>
      <c r="I1" s="281"/>
      <c r="J1" s="281"/>
    </row>
    <row r="2" spans="1:14" ht="32.25" customHeight="1">
      <c r="A2" s="310" t="s">
        <v>205</v>
      </c>
      <c r="B2" s="284"/>
      <c r="C2" s="284"/>
      <c r="D2" s="284"/>
      <c r="E2" s="284"/>
      <c r="F2" s="233"/>
      <c r="G2" s="286" t="s">
        <v>424</v>
      </c>
      <c r="H2" s="287" t="s">
        <v>425</v>
      </c>
      <c r="I2" s="284"/>
      <c r="J2" s="284"/>
      <c r="K2" s="284"/>
      <c r="L2" s="284"/>
      <c r="M2" s="284"/>
      <c r="N2" s="288" t="s">
        <v>469</v>
      </c>
    </row>
    <row r="3" spans="1:14" ht="21" customHeight="1">
      <c r="A3" s="290"/>
      <c r="B3" s="284"/>
      <c r="C3" s="290"/>
      <c r="E3" s="291"/>
      <c r="F3" s="628" t="s">
        <v>430</v>
      </c>
      <c r="G3" s="629"/>
      <c r="H3" s="311" t="s">
        <v>563</v>
      </c>
      <c r="I3" s="292"/>
      <c r="J3" s="295"/>
      <c r="K3" s="295"/>
      <c r="L3" s="290"/>
      <c r="M3" s="290"/>
      <c r="N3" s="199" t="s">
        <v>70</v>
      </c>
    </row>
    <row r="4" spans="1:15" ht="21.75" customHeight="1">
      <c r="A4" s="620" t="s">
        <v>204</v>
      </c>
      <c r="B4" s="621" t="s">
        <v>336</v>
      </c>
      <c r="C4" s="622"/>
      <c r="D4" s="616" t="s">
        <v>207</v>
      </c>
      <c r="E4" s="617"/>
      <c r="F4" s="616" t="s">
        <v>188</v>
      </c>
      <c r="G4" s="617"/>
      <c r="H4" s="618" t="s">
        <v>190</v>
      </c>
      <c r="I4" s="617"/>
      <c r="J4" s="618" t="s">
        <v>208</v>
      </c>
      <c r="K4" s="617"/>
      <c r="L4" s="616" t="s">
        <v>198</v>
      </c>
      <c r="M4" s="617"/>
      <c r="N4" s="618" t="s">
        <v>194</v>
      </c>
      <c r="O4" s="619"/>
    </row>
    <row r="5" spans="1:15" ht="21.75" customHeight="1">
      <c r="A5" s="620"/>
      <c r="B5" s="623"/>
      <c r="C5" s="624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9"/>
      <c r="O5" s="619"/>
    </row>
    <row r="6" spans="1:15" ht="21.75" customHeight="1">
      <c r="A6" s="620"/>
      <c r="B6" s="297" t="s">
        <v>184</v>
      </c>
      <c r="C6" s="297" t="s">
        <v>8</v>
      </c>
      <c r="D6" s="297" t="s">
        <v>184</v>
      </c>
      <c r="E6" s="297" t="s">
        <v>8</v>
      </c>
      <c r="F6" s="297" t="s">
        <v>184</v>
      </c>
      <c r="G6" s="297" t="s">
        <v>8</v>
      </c>
      <c r="H6" s="297" t="s">
        <v>184</v>
      </c>
      <c r="I6" s="297" t="s">
        <v>8</v>
      </c>
      <c r="J6" s="297" t="s">
        <v>184</v>
      </c>
      <c r="K6" s="297" t="s">
        <v>8</v>
      </c>
      <c r="L6" s="297" t="s">
        <v>184</v>
      </c>
      <c r="M6" s="297" t="s">
        <v>8</v>
      </c>
      <c r="N6" s="297" t="s">
        <v>184</v>
      </c>
      <c r="O6" s="297" t="s">
        <v>8</v>
      </c>
    </row>
    <row r="7" spans="1:15" ht="20.25" customHeight="1">
      <c r="A7" s="223" t="s">
        <v>216</v>
      </c>
      <c r="B7" s="312">
        <f>SUM(B8:B10)</f>
        <v>3225203048</v>
      </c>
      <c r="C7" s="313">
        <f aca="true" t="shared" si="0" ref="C7:C23">(B7/B$7)*100</f>
        <v>100</v>
      </c>
      <c r="D7" s="312">
        <f>D8+D9+D10</f>
        <v>3065155726</v>
      </c>
      <c r="E7" s="313">
        <f>(D7/D$7)*100</f>
        <v>100</v>
      </c>
      <c r="F7" s="312">
        <f>F8+F9</f>
        <v>159964112</v>
      </c>
      <c r="G7" s="313">
        <f>(F7/F$7)*100</f>
        <v>100</v>
      </c>
      <c r="H7" s="313"/>
      <c r="I7" s="313"/>
      <c r="J7" s="312"/>
      <c r="K7" s="313"/>
      <c r="L7" s="312">
        <f>SUM(L8:L9)</f>
        <v>83210</v>
      </c>
      <c r="M7" s="313">
        <f>(L7/L$7)*100</f>
        <v>100</v>
      </c>
      <c r="N7" s="312">
        <f>SUM(N8:N9)</f>
        <v>0</v>
      </c>
      <c r="O7" s="313"/>
    </row>
    <row r="8" spans="1:15" ht="20.25" customHeight="1">
      <c r="A8" s="217" t="s">
        <v>26</v>
      </c>
      <c r="B8" s="201">
        <f>D8+F8+H8+J8+L8+N8</f>
        <v>751552693</v>
      </c>
      <c r="C8" s="216">
        <f t="shared" si="0"/>
        <v>23.302492333499742</v>
      </c>
      <c r="D8" s="201">
        <v>751469483</v>
      </c>
      <c r="E8" s="216">
        <f aca="true" t="shared" si="1" ref="E8:E23">(D8/D$7)*100</f>
        <v>24.516518903940348</v>
      </c>
      <c r="F8" s="220">
        <v>0</v>
      </c>
      <c r="G8" s="216">
        <f>(F8/F$7)*100</f>
        <v>0</v>
      </c>
      <c r="H8" s="216"/>
      <c r="I8" s="216"/>
      <c r="J8" s="201"/>
      <c r="K8" s="216"/>
      <c r="L8" s="201">
        <v>83210</v>
      </c>
      <c r="M8" s="216">
        <f aca="true" t="shared" si="2" ref="M8:M24">(L8/L$7)*100</f>
        <v>100</v>
      </c>
      <c r="N8" s="201">
        <v>0</v>
      </c>
      <c r="O8" s="216"/>
    </row>
    <row r="9" spans="1:15" ht="20.25" customHeight="1">
      <c r="A9" s="217" t="s">
        <v>15</v>
      </c>
      <c r="B9" s="201">
        <f>D9+F9+H9+J9+L9+N9</f>
        <v>1771597355</v>
      </c>
      <c r="C9" s="216">
        <f t="shared" si="0"/>
        <v>54.929792904003236</v>
      </c>
      <c r="D9" s="201">
        <v>1611633243</v>
      </c>
      <c r="E9" s="216">
        <f t="shared" si="1"/>
        <v>52.57916357493414</v>
      </c>
      <c r="F9" s="220">
        <v>159964112</v>
      </c>
      <c r="G9" s="216">
        <f>(F9/F$7)*100</f>
        <v>100</v>
      </c>
      <c r="H9" s="216"/>
      <c r="I9" s="216"/>
      <c r="J9" s="201"/>
      <c r="K9" s="216"/>
      <c r="L9" s="201">
        <v>0</v>
      </c>
      <c r="M9" s="216">
        <f t="shared" si="2"/>
        <v>0</v>
      </c>
      <c r="N9" s="201">
        <v>0</v>
      </c>
      <c r="O9" s="216"/>
    </row>
    <row r="10" spans="1:15" ht="20.25" customHeight="1">
      <c r="A10" s="217" t="s">
        <v>544</v>
      </c>
      <c r="B10" s="201">
        <f>D10+F10+H10+J10+L10+N10</f>
        <v>702053000</v>
      </c>
      <c r="C10" s="216">
        <f t="shared" si="0"/>
        <v>21.767714762497025</v>
      </c>
      <c r="D10" s="201">
        <v>702053000</v>
      </c>
      <c r="E10" s="216"/>
      <c r="F10" s="201"/>
      <c r="G10" s="216"/>
      <c r="H10" s="201"/>
      <c r="I10" s="216"/>
      <c r="J10" s="201"/>
      <c r="K10" s="216"/>
      <c r="L10" s="201"/>
      <c r="M10" s="216">
        <f t="shared" si="2"/>
        <v>0</v>
      </c>
      <c r="N10" s="201"/>
      <c r="O10" s="216"/>
    </row>
    <row r="11" spans="1:15" ht="20.25" customHeight="1">
      <c r="A11" s="223" t="s">
        <v>16</v>
      </c>
      <c r="B11" s="202">
        <f>B12+B15+B18</f>
        <v>3225203048</v>
      </c>
      <c r="C11" s="221">
        <f t="shared" si="0"/>
        <v>100</v>
      </c>
      <c r="D11" s="202">
        <f>D12+D15+D18</f>
        <v>3065155726</v>
      </c>
      <c r="E11" s="221">
        <f t="shared" si="1"/>
        <v>100</v>
      </c>
      <c r="F11" s="202">
        <f>H12+H13+H14</f>
        <v>0</v>
      </c>
      <c r="G11" s="221">
        <f>(F11/F$7)*100</f>
        <v>0</v>
      </c>
      <c r="H11" s="221"/>
      <c r="I11" s="221"/>
      <c r="J11" s="202"/>
      <c r="K11" s="221"/>
      <c r="L11" s="202">
        <f>L12+L15+L18</f>
        <v>83210</v>
      </c>
      <c r="M11" s="221">
        <f t="shared" si="2"/>
        <v>100</v>
      </c>
      <c r="N11" s="202">
        <f>N12+N15+N18</f>
        <v>0</v>
      </c>
      <c r="O11" s="216"/>
    </row>
    <row r="12" spans="1:15" ht="20.25" customHeight="1">
      <c r="A12" s="217" t="s">
        <v>337</v>
      </c>
      <c r="B12" s="201">
        <f aca="true" t="shared" si="3" ref="B12:B23">D12+F12+H12+J12+L12+N12</f>
        <v>450000000</v>
      </c>
      <c r="C12" s="216">
        <f t="shared" si="0"/>
        <v>13.95260990712049</v>
      </c>
      <c r="D12" s="201">
        <f>SUM(D13:D14)</f>
        <v>450000000</v>
      </c>
      <c r="E12" s="216">
        <f t="shared" si="1"/>
        <v>14.681146415593242</v>
      </c>
      <c r="F12" s="201">
        <v>0</v>
      </c>
      <c r="G12" s="216">
        <v>0</v>
      </c>
      <c r="H12" s="216"/>
      <c r="I12" s="216"/>
      <c r="J12" s="201"/>
      <c r="K12" s="221"/>
      <c r="L12" s="201">
        <f>SUM(L13:L14)</f>
        <v>0</v>
      </c>
      <c r="M12" s="216">
        <f t="shared" si="2"/>
        <v>0</v>
      </c>
      <c r="N12" s="201">
        <v>0</v>
      </c>
      <c r="O12" s="216"/>
    </row>
    <row r="13" spans="1:15" ht="20.25" customHeight="1">
      <c r="A13" s="227" t="s">
        <v>413</v>
      </c>
      <c r="B13" s="201">
        <f t="shared" si="3"/>
        <v>450000000</v>
      </c>
      <c r="C13" s="216">
        <f t="shared" si="0"/>
        <v>13.95260990712049</v>
      </c>
      <c r="D13" s="201">
        <v>450000000</v>
      </c>
      <c r="E13" s="216">
        <f t="shared" si="1"/>
        <v>14.681146415593242</v>
      </c>
      <c r="F13" s="201">
        <v>0</v>
      </c>
      <c r="G13" s="216">
        <v>0</v>
      </c>
      <c r="H13" s="216"/>
      <c r="I13" s="216"/>
      <c r="J13" s="201"/>
      <c r="K13" s="221"/>
      <c r="L13" s="201">
        <v>0</v>
      </c>
      <c r="M13" s="216">
        <f t="shared" si="2"/>
        <v>0</v>
      </c>
      <c r="N13" s="201">
        <v>0</v>
      </c>
      <c r="O13" s="216"/>
    </row>
    <row r="14" spans="1:15" ht="20.25" customHeight="1">
      <c r="A14" s="227" t="s">
        <v>498</v>
      </c>
      <c r="B14" s="201">
        <f t="shared" si="3"/>
        <v>0</v>
      </c>
      <c r="C14" s="216">
        <f t="shared" si="0"/>
        <v>0</v>
      </c>
      <c r="D14" s="201">
        <v>0</v>
      </c>
      <c r="E14" s="216">
        <f t="shared" si="1"/>
        <v>0</v>
      </c>
      <c r="F14" s="201">
        <v>0</v>
      </c>
      <c r="G14" s="216">
        <v>0</v>
      </c>
      <c r="H14" s="216"/>
      <c r="I14" s="216"/>
      <c r="J14" s="201"/>
      <c r="K14" s="221"/>
      <c r="L14" s="201">
        <v>0</v>
      </c>
      <c r="M14" s="216">
        <f t="shared" si="2"/>
        <v>0</v>
      </c>
      <c r="N14" s="201">
        <v>0</v>
      </c>
      <c r="O14" s="216"/>
    </row>
    <row r="15" spans="1:15" ht="20.25" customHeight="1">
      <c r="A15" s="217" t="s">
        <v>17</v>
      </c>
      <c r="B15" s="201">
        <f t="shared" si="3"/>
        <v>15750</v>
      </c>
      <c r="C15" s="216">
        <f t="shared" si="0"/>
        <v>0.0004883413467492171</v>
      </c>
      <c r="D15" s="201">
        <f>SUM(D16:D17)</f>
        <v>15750</v>
      </c>
      <c r="E15" s="216">
        <f t="shared" si="1"/>
        <v>0.0005138401245457635</v>
      </c>
      <c r="F15" s="201">
        <f>SUM(F16:F17)</f>
        <v>0</v>
      </c>
      <c r="G15" s="216">
        <v>0</v>
      </c>
      <c r="H15" s="216"/>
      <c r="I15" s="216"/>
      <c r="J15" s="201"/>
      <c r="K15" s="221"/>
      <c r="L15" s="201">
        <f>SUM(L16:L17)</f>
        <v>0</v>
      </c>
      <c r="M15" s="216">
        <f t="shared" si="2"/>
        <v>0</v>
      </c>
      <c r="N15" s="201">
        <v>0</v>
      </c>
      <c r="O15" s="216"/>
    </row>
    <row r="16" spans="1:15" ht="20.25" customHeight="1">
      <c r="A16" s="227" t="s">
        <v>413</v>
      </c>
      <c r="B16" s="201">
        <f t="shared" si="3"/>
        <v>15750</v>
      </c>
      <c r="C16" s="216">
        <f t="shared" si="0"/>
        <v>0.0004883413467492171</v>
      </c>
      <c r="D16" s="201">
        <v>15750</v>
      </c>
      <c r="E16" s="216">
        <f t="shared" si="1"/>
        <v>0.0005138401245457635</v>
      </c>
      <c r="F16" s="201">
        <v>0</v>
      </c>
      <c r="G16" s="216">
        <v>0</v>
      </c>
      <c r="H16" s="216"/>
      <c r="I16" s="216"/>
      <c r="J16" s="201"/>
      <c r="K16" s="221"/>
      <c r="L16" s="201">
        <v>0</v>
      </c>
      <c r="M16" s="216">
        <f t="shared" si="2"/>
        <v>0</v>
      </c>
      <c r="N16" s="201">
        <v>0</v>
      </c>
      <c r="O16" s="216"/>
    </row>
    <row r="17" spans="1:15" ht="20.25" customHeight="1">
      <c r="A17" s="227" t="s">
        <v>498</v>
      </c>
      <c r="B17" s="201">
        <f t="shared" si="3"/>
        <v>0</v>
      </c>
      <c r="C17" s="216">
        <f t="shared" si="0"/>
        <v>0</v>
      </c>
      <c r="D17" s="201">
        <v>0</v>
      </c>
      <c r="E17" s="216">
        <f t="shared" si="1"/>
        <v>0</v>
      </c>
      <c r="F17" s="201">
        <v>0</v>
      </c>
      <c r="G17" s="216">
        <v>0</v>
      </c>
      <c r="H17" s="216"/>
      <c r="I17" s="216"/>
      <c r="J17" s="201"/>
      <c r="K17" s="221"/>
      <c r="L17" s="201">
        <v>0</v>
      </c>
      <c r="M17" s="216">
        <f t="shared" si="2"/>
        <v>0</v>
      </c>
      <c r="N17" s="201">
        <v>0</v>
      </c>
      <c r="O17" s="216"/>
    </row>
    <row r="18" spans="1:15" ht="20.25" customHeight="1">
      <c r="A18" s="217" t="s">
        <v>18</v>
      </c>
      <c r="B18" s="201">
        <f>SUM(B19:B23)</f>
        <v>2775187298</v>
      </c>
      <c r="C18" s="216">
        <f t="shared" si="0"/>
        <v>86.04690175153276</v>
      </c>
      <c r="D18" s="201">
        <f>SUM(D19:D23)</f>
        <v>2615139976</v>
      </c>
      <c r="E18" s="216">
        <f t="shared" si="1"/>
        <v>85.31833974428221</v>
      </c>
      <c r="F18" s="201">
        <f>SUM(F19:F23)</f>
        <v>159964112</v>
      </c>
      <c r="G18" s="216">
        <f>(F18/F$7)*100</f>
        <v>100</v>
      </c>
      <c r="H18" s="216"/>
      <c r="I18" s="216"/>
      <c r="J18" s="201"/>
      <c r="K18" s="216"/>
      <c r="L18" s="201">
        <f>SUM(L19:L23)</f>
        <v>83210</v>
      </c>
      <c r="M18" s="216">
        <f t="shared" si="2"/>
        <v>100</v>
      </c>
      <c r="N18" s="201">
        <f>SUM(N19:N23)</f>
        <v>0</v>
      </c>
      <c r="O18" s="216"/>
    </row>
    <row r="19" spans="1:15" ht="20.25" customHeight="1">
      <c r="A19" s="217" t="s">
        <v>392</v>
      </c>
      <c r="B19" s="201">
        <f t="shared" si="3"/>
        <v>57237998</v>
      </c>
      <c r="C19" s="216">
        <f t="shared" si="0"/>
        <v>1.7747099065745393</v>
      </c>
      <c r="D19" s="201">
        <v>0</v>
      </c>
      <c r="E19" s="216">
        <v>0</v>
      </c>
      <c r="F19" s="201">
        <v>57154788</v>
      </c>
      <c r="G19" s="216">
        <f>(F19/F$7)*100</f>
        <v>35.729756684424316</v>
      </c>
      <c r="H19" s="216"/>
      <c r="I19" s="216"/>
      <c r="J19" s="201"/>
      <c r="K19" s="216"/>
      <c r="L19" s="201">
        <v>83210</v>
      </c>
      <c r="M19" s="216">
        <f t="shared" si="2"/>
        <v>100</v>
      </c>
      <c r="N19" s="201">
        <v>0</v>
      </c>
      <c r="O19" s="216"/>
    </row>
    <row r="20" spans="1:15" ht="20.25" customHeight="1">
      <c r="A20" s="217" t="s">
        <v>19</v>
      </c>
      <c r="B20" s="201">
        <f t="shared" si="3"/>
        <v>0</v>
      </c>
      <c r="C20" s="216">
        <f t="shared" si="0"/>
        <v>0</v>
      </c>
      <c r="D20" s="201">
        <v>0</v>
      </c>
      <c r="E20" s="216">
        <v>0</v>
      </c>
      <c r="F20" s="201">
        <v>0</v>
      </c>
      <c r="G20" s="216">
        <v>0</v>
      </c>
      <c r="H20" s="216"/>
      <c r="I20" s="216"/>
      <c r="J20" s="201"/>
      <c r="K20" s="221"/>
      <c r="L20" s="201">
        <v>0</v>
      </c>
      <c r="M20" s="216">
        <f t="shared" si="2"/>
        <v>0</v>
      </c>
      <c r="N20" s="201">
        <v>0</v>
      </c>
      <c r="O20" s="216"/>
    </row>
    <row r="21" spans="1:15" ht="20.25" customHeight="1">
      <c r="A21" s="217" t="s">
        <v>20</v>
      </c>
      <c r="B21" s="201">
        <f t="shared" si="3"/>
        <v>75146948</v>
      </c>
      <c r="C21" s="216">
        <f t="shared" si="0"/>
        <v>2.329991224788152</v>
      </c>
      <c r="D21" s="201">
        <v>75146948</v>
      </c>
      <c r="E21" s="216">
        <f t="shared" si="1"/>
        <v>2.4516518806066037</v>
      </c>
      <c r="F21" s="201">
        <v>0</v>
      </c>
      <c r="G21" s="216">
        <f>(F21/F$7)*100</f>
        <v>0</v>
      </c>
      <c r="H21" s="216"/>
      <c r="I21" s="216"/>
      <c r="J21" s="201"/>
      <c r="K21" s="221"/>
      <c r="L21" s="201">
        <v>0</v>
      </c>
      <c r="M21" s="216">
        <f t="shared" si="2"/>
        <v>0</v>
      </c>
      <c r="N21" s="201">
        <v>0</v>
      </c>
      <c r="O21" s="216"/>
    </row>
    <row r="22" spans="1:15" ht="20.25" customHeight="1">
      <c r="A22" s="217" t="s">
        <v>21</v>
      </c>
      <c r="B22" s="201">
        <f t="shared" si="3"/>
        <v>0</v>
      </c>
      <c r="C22" s="216">
        <f t="shared" si="0"/>
        <v>0</v>
      </c>
      <c r="D22" s="201">
        <v>0</v>
      </c>
      <c r="E22" s="216">
        <v>0</v>
      </c>
      <c r="F22" s="201">
        <v>0</v>
      </c>
      <c r="G22" s="216">
        <v>0</v>
      </c>
      <c r="H22" s="216"/>
      <c r="I22" s="216"/>
      <c r="J22" s="201"/>
      <c r="K22" s="221"/>
      <c r="L22" s="201">
        <v>0</v>
      </c>
      <c r="M22" s="216">
        <f t="shared" si="2"/>
        <v>0</v>
      </c>
      <c r="N22" s="201">
        <v>0</v>
      </c>
      <c r="O22" s="216"/>
    </row>
    <row r="23" spans="1:15" ht="20.25" customHeight="1">
      <c r="A23" s="217" t="s">
        <v>22</v>
      </c>
      <c r="B23" s="201">
        <f t="shared" si="3"/>
        <v>2642802352</v>
      </c>
      <c r="C23" s="216">
        <f t="shared" si="0"/>
        <v>81.94220062017007</v>
      </c>
      <c r="D23" s="201">
        <v>2539993028</v>
      </c>
      <c r="E23" s="216">
        <f t="shared" si="1"/>
        <v>82.86668786367561</v>
      </c>
      <c r="F23" s="220">
        <v>102809324</v>
      </c>
      <c r="G23" s="216">
        <f>(F23/F$7)*100</f>
        <v>64.27024331557568</v>
      </c>
      <c r="H23" s="216"/>
      <c r="I23" s="216"/>
      <c r="J23" s="201"/>
      <c r="K23" s="221"/>
      <c r="L23" s="201">
        <v>0</v>
      </c>
      <c r="M23" s="216">
        <f t="shared" si="2"/>
        <v>0</v>
      </c>
      <c r="N23" s="201">
        <v>0</v>
      </c>
      <c r="O23" s="216"/>
    </row>
    <row r="24" spans="1:15" ht="20.25" customHeight="1">
      <c r="A24" s="217"/>
      <c r="B24" s="201"/>
      <c r="C24" s="216"/>
      <c r="D24" s="201"/>
      <c r="E24" s="216"/>
      <c r="F24" s="201"/>
      <c r="G24" s="216"/>
      <c r="H24" s="201"/>
      <c r="I24" s="216"/>
      <c r="J24" s="201"/>
      <c r="K24" s="216"/>
      <c r="L24" s="201">
        <v>0</v>
      </c>
      <c r="M24" s="216">
        <f t="shared" si="2"/>
        <v>0</v>
      </c>
      <c r="N24" s="201"/>
      <c r="O24" s="216"/>
    </row>
    <row r="25" spans="1:15" ht="20.25" customHeight="1">
      <c r="A25" s="223" t="s">
        <v>23</v>
      </c>
      <c r="B25" s="202">
        <f>B26+B27</f>
        <v>706653428</v>
      </c>
      <c r="C25" s="221">
        <f aca="true" t="shared" si="4" ref="C25:C37">(B25/B$25)*100</f>
        <v>100</v>
      </c>
      <c r="D25" s="202"/>
      <c r="E25" s="221"/>
      <c r="F25" s="202">
        <f>F26+F27</f>
        <v>57154788</v>
      </c>
      <c r="G25" s="221">
        <f>(F25/F$25)*100</f>
        <v>100</v>
      </c>
      <c r="H25" s="202">
        <f>H26+H27</f>
        <v>28066156</v>
      </c>
      <c r="I25" s="221">
        <f>(H25/H$25)*100</f>
        <v>100</v>
      </c>
      <c r="J25" s="202">
        <f>J26+J27</f>
        <v>398353778</v>
      </c>
      <c r="K25" s="221">
        <f aca="true" t="shared" si="5" ref="K25:K37">(J25/J$25)*100</f>
        <v>100</v>
      </c>
      <c r="L25" s="202">
        <f>L26+L27</f>
        <v>28481173</v>
      </c>
      <c r="M25" s="221">
        <f>(L25/L$25)*100</f>
        <v>100</v>
      </c>
      <c r="N25" s="202">
        <f>SUM(N26:N27)</f>
        <v>194597533</v>
      </c>
      <c r="O25" s="221">
        <f>(N25/N$25)*100</f>
        <v>100</v>
      </c>
    </row>
    <row r="26" spans="1:15" ht="20.25" customHeight="1">
      <c r="A26" s="217" t="s">
        <v>24</v>
      </c>
      <c r="B26" s="201">
        <f>D26+F26+H26+J26+L26+N26</f>
        <v>152098029</v>
      </c>
      <c r="C26" s="216">
        <f t="shared" si="4"/>
        <v>21.523709214922253</v>
      </c>
      <c r="D26" s="201"/>
      <c r="E26" s="216"/>
      <c r="F26" s="201">
        <v>57154788</v>
      </c>
      <c r="G26" s="216">
        <f>(F26/F$25)*100</f>
        <v>100</v>
      </c>
      <c r="H26" s="201">
        <v>4441766</v>
      </c>
      <c r="I26" s="216">
        <f>(H26/H$25)*100</f>
        <v>15.826057547745407</v>
      </c>
      <c r="J26" s="201">
        <v>36003816</v>
      </c>
      <c r="K26" s="216">
        <f t="shared" si="5"/>
        <v>9.03815100756996</v>
      </c>
      <c r="L26" s="201">
        <v>0</v>
      </c>
      <c r="M26" s="216">
        <f>(L26/L$25)*100</f>
        <v>0</v>
      </c>
      <c r="N26" s="201">
        <v>54497659</v>
      </c>
      <c r="O26" s="216">
        <f>(N26/N$25)*100</f>
        <v>28.005318546355877</v>
      </c>
    </row>
    <row r="27" spans="1:15" ht="20.25" customHeight="1">
      <c r="A27" s="217" t="s">
        <v>25</v>
      </c>
      <c r="B27" s="201">
        <f>D27+F27+H27+J27+L27+N27</f>
        <v>554555399</v>
      </c>
      <c r="C27" s="216">
        <f t="shared" si="4"/>
        <v>78.47629078507774</v>
      </c>
      <c r="D27" s="201"/>
      <c r="E27" s="216"/>
      <c r="F27" s="201">
        <v>0</v>
      </c>
      <c r="G27" s="216">
        <f>(F27/F$25)*100</f>
        <v>0</v>
      </c>
      <c r="H27" s="201">
        <v>23624390</v>
      </c>
      <c r="I27" s="216">
        <f>(H27/H$25)*100</f>
        <v>84.1739424522546</v>
      </c>
      <c r="J27" s="201">
        <v>362349962</v>
      </c>
      <c r="K27" s="216">
        <f t="shared" si="5"/>
        <v>90.96184899243003</v>
      </c>
      <c r="L27" s="201">
        <v>28481173</v>
      </c>
      <c r="M27" s="216">
        <f>(L27/L$25)*100</f>
        <v>100</v>
      </c>
      <c r="N27" s="201">
        <v>140099874</v>
      </c>
      <c r="O27" s="216">
        <f>(N27/N$25)*100</f>
        <v>71.99468145364413</v>
      </c>
    </row>
    <row r="28" spans="1:15" ht="20.25" customHeight="1">
      <c r="A28" s="217"/>
      <c r="B28" s="201"/>
      <c r="C28" s="216"/>
      <c r="D28" s="201"/>
      <c r="E28" s="216"/>
      <c r="F28" s="201"/>
      <c r="G28" s="216"/>
      <c r="H28" s="201"/>
      <c r="I28" s="216"/>
      <c r="J28" s="201"/>
      <c r="K28" s="216"/>
      <c r="L28" s="201"/>
      <c r="M28" s="216"/>
      <c r="N28" s="201"/>
      <c r="O28" s="216"/>
    </row>
    <row r="29" spans="1:15" ht="20.25" customHeight="1">
      <c r="A29" s="223" t="s">
        <v>67</v>
      </c>
      <c r="B29" s="202">
        <f>B30+B31+B32</f>
        <v>706653428</v>
      </c>
      <c r="C29" s="221">
        <f t="shared" si="4"/>
        <v>100</v>
      </c>
      <c r="D29" s="202"/>
      <c r="E29" s="221"/>
      <c r="F29" s="202">
        <f>SUM(F30:F32)</f>
        <v>57154788</v>
      </c>
      <c r="G29" s="221">
        <f>(F29/F$25)*100</f>
        <v>100</v>
      </c>
      <c r="H29" s="202">
        <f>H30+H31+H32</f>
        <v>28066156</v>
      </c>
      <c r="I29" s="221">
        <f>(H29/H$25)*100</f>
        <v>100</v>
      </c>
      <c r="J29" s="202">
        <f>J30+J31+J32</f>
        <v>398353778</v>
      </c>
      <c r="K29" s="221">
        <f t="shared" si="5"/>
        <v>100</v>
      </c>
      <c r="L29" s="202">
        <f>SUM(L30:L32)</f>
        <v>28481173</v>
      </c>
      <c r="M29" s="221">
        <f>(L29/L$25)*100</f>
        <v>100</v>
      </c>
      <c r="N29" s="202">
        <f>SUM(N30:N32)</f>
        <v>194597533</v>
      </c>
      <c r="O29" s="221">
        <f>(N29/N$25)*100</f>
        <v>100</v>
      </c>
    </row>
    <row r="30" spans="1:15" ht="20.25" customHeight="1">
      <c r="A30" s="217" t="s">
        <v>27</v>
      </c>
      <c r="B30" s="201">
        <v>0</v>
      </c>
      <c r="C30" s="216">
        <v>0</v>
      </c>
      <c r="D30" s="201"/>
      <c r="E30" s="216"/>
      <c r="F30" s="201"/>
      <c r="G30" s="216"/>
      <c r="H30" s="201">
        <v>0</v>
      </c>
      <c r="I30" s="216">
        <v>0</v>
      </c>
      <c r="J30" s="201">
        <v>0</v>
      </c>
      <c r="K30" s="216">
        <v>0</v>
      </c>
      <c r="L30" s="201">
        <v>0</v>
      </c>
      <c r="M30" s="216">
        <f>(L30/L$25)*100</f>
        <v>0</v>
      </c>
      <c r="N30" s="201">
        <v>0</v>
      </c>
      <c r="O30" s="216">
        <v>0</v>
      </c>
    </row>
    <row r="31" spans="1:15" ht="20.25" customHeight="1">
      <c r="A31" s="217" t="s">
        <v>28</v>
      </c>
      <c r="B31" s="201">
        <f>D31+F31+H31+J31+L31+N31</f>
        <v>60000000</v>
      </c>
      <c r="C31" s="216">
        <v>0</v>
      </c>
      <c r="D31" s="201"/>
      <c r="E31" s="216"/>
      <c r="F31" s="201">
        <v>0</v>
      </c>
      <c r="G31" s="216">
        <f aca="true" t="shared" si="6" ref="G31:G37">(F31/F$25)*100</f>
        <v>0</v>
      </c>
      <c r="H31" s="201">
        <v>0</v>
      </c>
      <c r="I31" s="216">
        <v>0</v>
      </c>
      <c r="J31" s="201">
        <v>60000000</v>
      </c>
      <c r="K31" s="216">
        <v>0</v>
      </c>
      <c r="L31" s="201">
        <v>0</v>
      </c>
      <c r="M31" s="216">
        <f>(L31/L$25)*100</f>
        <v>0</v>
      </c>
      <c r="N31" s="201">
        <v>0</v>
      </c>
      <c r="O31" s="216">
        <v>0</v>
      </c>
    </row>
    <row r="32" spans="1:15" ht="20.25" customHeight="1">
      <c r="A32" s="217" t="s">
        <v>252</v>
      </c>
      <c r="B32" s="201">
        <f aca="true" t="shared" si="7" ref="B32:B37">D32+F32+H32+J32+L32+N32</f>
        <v>646653428</v>
      </c>
      <c r="C32" s="216">
        <f t="shared" si="4"/>
        <v>91.50927489734049</v>
      </c>
      <c r="D32" s="201"/>
      <c r="E32" s="216"/>
      <c r="F32" s="201">
        <f>SUM(F33:F37)</f>
        <v>57154788</v>
      </c>
      <c r="G32" s="216">
        <f t="shared" si="6"/>
        <v>100</v>
      </c>
      <c r="H32" s="201">
        <f>SUM(H33:H37)</f>
        <v>28066156</v>
      </c>
      <c r="I32" s="216">
        <f>(H32/H$25)*100</f>
        <v>100</v>
      </c>
      <c r="J32" s="201">
        <f>SUM(J33:J37)</f>
        <v>338353778</v>
      </c>
      <c r="K32" s="216">
        <f t="shared" si="5"/>
        <v>84.93801155815824</v>
      </c>
      <c r="L32" s="201">
        <f>SUM(L33:L37)</f>
        <v>28481173</v>
      </c>
      <c r="M32" s="216">
        <f aca="true" t="shared" si="8" ref="M32:M37">(L32/L$25)*100</f>
        <v>100</v>
      </c>
      <c r="N32" s="201">
        <f>SUM(N33:N37)</f>
        <v>194597533</v>
      </c>
      <c r="O32" s="216">
        <f aca="true" t="shared" si="9" ref="O32:O37">(N32/N$25)*100</f>
        <v>100</v>
      </c>
    </row>
    <row r="33" spans="1:15" ht="20.25" customHeight="1">
      <c r="A33" s="217" t="s">
        <v>29</v>
      </c>
      <c r="B33" s="201">
        <f t="shared" si="7"/>
        <v>57237998</v>
      </c>
      <c r="C33" s="216">
        <f t="shared" si="4"/>
        <v>8.099868440742922</v>
      </c>
      <c r="D33" s="201"/>
      <c r="E33" s="216"/>
      <c r="F33" s="201">
        <v>57154788</v>
      </c>
      <c r="G33" s="216">
        <f t="shared" si="6"/>
        <v>100</v>
      </c>
      <c r="H33" s="201">
        <v>0</v>
      </c>
      <c r="I33" s="216">
        <v>0</v>
      </c>
      <c r="J33" s="201">
        <v>0</v>
      </c>
      <c r="K33" s="216">
        <f t="shared" si="5"/>
        <v>0</v>
      </c>
      <c r="L33" s="201">
        <v>83210</v>
      </c>
      <c r="M33" s="216">
        <f t="shared" si="8"/>
        <v>0.29215791077144193</v>
      </c>
      <c r="N33" s="201">
        <v>0</v>
      </c>
      <c r="O33" s="216">
        <f t="shared" si="9"/>
        <v>0</v>
      </c>
    </row>
    <row r="34" spans="1:15" ht="20.25" customHeight="1">
      <c r="A34" s="217" t="s">
        <v>30</v>
      </c>
      <c r="B34" s="201">
        <f t="shared" si="7"/>
        <v>0</v>
      </c>
      <c r="C34" s="216">
        <f t="shared" si="4"/>
        <v>0</v>
      </c>
      <c r="D34" s="201"/>
      <c r="E34" s="216"/>
      <c r="F34" s="201">
        <v>0</v>
      </c>
      <c r="G34" s="216">
        <f t="shared" si="6"/>
        <v>0</v>
      </c>
      <c r="H34" s="201">
        <v>0</v>
      </c>
      <c r="I34" s="216">
        <v>0</v>
      </c>
      <c r="J34" s="201">
        <v>0</v>
      </c>
      <c r="K34" s="216">
        <f t="shared" si="5"/>
        <v>0</v>
      </c>
      <c r="L34" s="201">
        <v>0</v>
      </c>
      <c r="M34" s="216">
        <f t="shared" si="8"/>
        <v>0</v>
      </c>
      <c r="N34" s="201">
        <v>0</v>
      </c>
      <c r="O34" s="216">
        <f t="shared" si="9"/>
        <v>0</v>
      </c>
    </row>
    <row r="35" spans="1:15" ht="20.25" customHeight="1">
      <c r="A35" s="217" t="s">
        <v>31</v>
      </c>
      <c r="B35" s="201">
        <f t="shared" si="7"/>
        <v>0</v>
      </c>
      <c r="C35" s="216">
        <f t="shared" si="4"/>
        <v>0</v>
      </c>
      <c r="D35" s="201"/>
      <c r="E35" s="216"/>
      <c r="F35" s="201">
        <v>0</v>
      </c>
      <c r="G35" s="216">
        <f t="shared" si="6"/>
        <v>0</v>
      </c>
      <c r="H35" s="201">
        <v>0</v>
      </c>
      <c r="I35" s="216">
        <v>0</v>
      </c>
      <c r="J35" s="201">
        <v>0</v>
      </c>
      <c r="K35" s="216">
        <f t="shared" si="5"/>
        <v>0</v>
      </c>
      <c r="L35" s="201">
        <v>0</v>
      </c>
      <c r="M35" s="216">
        <f t="shared" si="8"/>
        <v>0</v>
      </c>
      <c r="N35" s="201">
        <v>0</v>
      </c>
      <c r="O35" s="216">
        <f t="shared" si="9"/>
        <v>0</v>
      </c>
    </row>
    <row r="36" spans="1:15" ht="20.25" customHeight="1">
      <c r="A36" s="217" t="s">
        <v>32</v>
      </c>
      <c r="B36" s="201">
        <f t="shared" si="7"/>
        <v>0</v>
      </c>
      <c r="C36" s="216">
        <f t="shared" si="4"/>
        <v>0</v>
      </c>
      <c r="D36" s="201"/>
      <c r="E36" s="216"/>
      <c r="F36" s="201">
        <v>0</v>
      </c>
      <c r="G36" s="216">
        <f t="shared" si="6"/>
        <v>0</v>
      </c>
      <c r="H36" s="201">
        <v>0</v>
      </c>
      <c r="I36" s="216">
        <v>0</v>
      </c>
      <c r="J36" s="201">
        <v>0</v>
      </c>
      <c r="K36" s="216">
        <f t="shared" si="5"/>
        <v>0</v>
      </c>
      <c r="L36" s="201">
        <v>0</v>
      </c>
      <c r="M36" s="216">
        <f t="shared" si="8"/>
        <v>0</v>
      </c>
      <c r="N36" s="201">
        <v>0</v>
      </c>
      <c r="O36" s="216">
        <f t="shared" si="9"/>
        <v>0</v>
      </c>
    </row>
    <row r="37" spans="1:15" ht="20.25" customHeight="1">
      <c r="A37" s="230" t="s">
        <v>33</v>
      </c>
      <c r="B37" s="203">
        <f t="shared" si="7"/>
        <v>589415430</v>
      </c>
      <c r="C37" s="314">
        <f t="shared" si="4"/>
        <v>83.40940645659755</v>
      </c>
      <c r="D37" s="203"/>
      <c r="E37" s="314"/>
      <c r="F37" s="203">
        <v>0</v>
      </c>
      <c r="G37" s="314">
        <f t="shared" si="6"/>
        <v>0</v>
      </c>
      <c r="H37" s="203">
        <v>28066156</v>
      </c>
      <c r="I37" s="314">
        <f>(H37/H$25)*100</f>
        <v>100</v>
      </c>
      <c r="J37" s="203">
        <v>338353778</v>
      </c>
      <c r="K37" s="314">
        <f t="shared" si="5"/>
        <v>84.93801155815824</v>
      </c>
      <c r="L37" s="203">
        <v>28397963</v>
      </c>
      <c r="M37" s="314">
        <f t="shared" si="8"/>
        <v>99.70784208922856</v>
      </c>
      <c r="N37" s="203">
        <v>194597533</v>
      </c>
      <c r="O37" s="314">
        <f t="shared" si="9"/>
        <v>100</v>
      </c>
    </row>
    <row r="38" spans="4:14" ht="16.5">
      <c r="D38" s="315"/>
      <c r="F38" s="315"/>
      <c r="J38" s="315"/>
      <c r="L38" s="315"/>
      <c r="N38" s="315"/>
    </row>
    <row r="39" spans="1:14" ht="19.5">
      <c r="A39" s="309" t="s">
        <v>361</v>
      </c>
      <c r="B39" s="309"/>
      <c r="C39" s="309"/>
      <c r="D39" s="309"/>
      <c r="E39" s="309"/>
      <c r="F39" s="316"/>
      <c r="G39" s="309"/>
      <c r="J39" s="315"/>
      <c r="L39" s="315"/>
      <c r="N39" s="315"/>
    </row>
    <row r="40" spans="6:14" ht="16.5">
      <c r="F40" s="315"/>
      <c r="J40" s="315"/>
      <c r="N40" s="315"/>
    </row>
    <row r="41" spans="6:14" ht="16.5">
      <c r="F41" s="315"/>
      <c r="J41" s="315"/>
      <c r="N41" s="315"/>
    </row>
    <row r="42" spans="6:14" ht="16.5">
      <c r="F42" s="315"/>
      <c r="J42" s="315"/>
      <c r="N42" s="315"/>
    </row>
    <row r="43" spans="6:14" ht="16.5">
      <c r="F43" s="315"/>
      <c r="J43" s="315"/>
      <c r="N43" s="315"/>
    </row>
    <row r="44" spans="6:14" ht="16.5">
      <c r="F44" s="315"/>
      <c r="J44" s="315"/>
      <c r="N44" s="315"/>
    </row>
    <row r="45" spans="6:14" ht="16.5">
      <c r="F45" s="315"/>
      <c r="J45" s="315"/>
      <c r="N45" s="315"/>
    </row>
    <row r="46" spans="6:14" ht="16.5">
      <c r="F46" s="315"/>
      <c r="J46" s="315"/>
      <c r="N46" s="315"/>
    </row>
    <row r="47" spans="6:14" ht="16.5">
      <c r="F47" s="315"/>
      <c r="J47" s="315"/>
      <c r="N47" s="315"/>
    </row>
    <row r="48" spans="6:14" ht="16.5">
      <c r="F48" s="315"/>
      <c r="J48" s="315"/>
      <c r="N48" s="315"/>
    </row>
    <row r="49" spans="6:14" ht="16.5">
      <c r="F49" s="315"/>
      <c r="J49" s="315"/>
      <c r="N49" s="315"/>
    </row>
    <row r="50" spans="6:14" ht="16.5">
      <c r="F50" s="315"/>
      <c r="J50" s="315"/>
      <c r="N50" s="315"/>
    </row>
    <row r="51" spans="6:14" ht="16.5">
      <c r="F51" s="315"/>
      <c r="J51" s="315"/>
      <c r="N51" s="315"/>
    </row>
    <row r="52" spans="6:14" ht="16.5">
      <c r="F52" s="315"/>
      <c r="J52" s="315"/>
      <c r="N52" s="315"/>
    </row>
    <row r="53" spans="6:14" ht="16.5">
      <c r="F53" s="315"/>
      <c r="J53" s="315"/>
      <c r="N53" s="315"/>
    </row>
    <row r="54" spans="6:14" ht="16.5">
      <c r="F54" s="315"/>
      <c r="J54" s="315"/>
      <c r="N54" s="315"/>
    </row>
    <row r="55" spans="6:14" ht="16.5">
      <c r="F55" s="315"/>
      <c r="J55" s="315"/>
      <c r="N55" s="315"/>
    </row>
    <row r="56" spans="6:14" ht="16.5">
      <c r="F56" s="315"/>
      <c r="J56" s="315"/>
      <c r="N56" s="315"/>
    </row>
    <row r="57" spans="6:14" ht="16.5">
      <c r="F57" s="315"/>
      <c r="J57" s="315"/>
      <c r="N57" s="315"/>
    </row>
    <row r="58" spans="6:14" ht="16.5">
      <c r="F58" s="315"/>
      <c r="J58" s="315"/>
      <c r="N58" s="315"/>
    </row>
    <row r="59" spans="6:14" ht="16.5">
      <c r="F59" s="315"/>
      <c r="J59" s="315"/>
      <c r="N59" s="315"/>
    </row>
    <row r="60" spans="6:14" ht="16.5">
      <c r="F60" s="315"/>
      <c r="J60" s="315"/>
      <c r="N60" s="315"/>
    </row>
    <row r="61" spans="6:14" ht="16.5">
      <c r="F61" s="315"/>
      <c r="J61" s="315"/>
      <c r="N61" s="315"/>
    </row>
    <row r="62" spans="6:14" ht="16.5">
      <c r="F62" s="315"/>
      <c r="J62" s="315"/>
      <c r="N62" s="315"/>
    </row>
    <row r="63" spans="6:14" ht="16.5">
      <c r="F63" s="315"/>
      <c r="J63" s="315"/>
      <c r="N63" s="315"/>
    </row>
    <row r="64" spans="6:14" ht="16.5">
      <c r="F64" s="315"/>
      <c r="J64" s="315"/>
      <c r="N64" s="315"/>
    </row>
    <row r="65" spans="6:14" ht="16.5">
      <c r="F65" s="315"/>
      <c r="J65" s="315"/>
      <c r="N65" s="315"/>
    </row>
    <row r="66" spans="6:14" ht="16.5">
      <c r="F66" s="315"/>
      <c r="J66" s="315"/>
      <c r="N66" s="315"/>
    </row>
    <row r="67" spans="6:14" ht="16.5">
      <c r="F67" s="315"/>
      <c r="J67" s="315"/>
      <c r="N67" s="315"/>
    </row>
    <row r="68" spans="6:14" ht="16.5">
      <c r="F68" s="315"/>
      <c r="J68" s="315"/>
      <c r="N68" s="315"/>
    </row>
    <row r="69" spans="6:14" ht="16.5">
      <c r="F69" s="315"/>
      <c r="J69" s="315"/>
      <c r="N69" s="315"/>
    </row>
    <row r="70" spans="6:14" ht="16.5">
      <c r="F70" s="315"/>
      <c r="J70" s="315"/>
      <c r="N70" s="315"/>
    </row>
    <row r="71" spans="6:14" ht="16.5">
      <c r="F71" s="315"/>
      <c r="J71" s="315"/>
      <c r="N71" s="315"/>
    </row>
    <row r="72" spans="6:14" ht="16.5">
      <c r="F72" s="315"/>
      <c r="J72" s="315"/>
      <c r="N72" s="315"/>
    </row>
    <row r="73" spans="6:14" ht="16.5">
      <c r="F73" s="315"/>
      <c r="J73" s="315"/>
      <c r="N73" s="315"/>
    </row>
    <row r="74" spans="10:14" ht="16.5">
      <c r="J74" s="315"/>
      <c r="N74" s="315"/>
    </row>
    <row r="75" spans="10:14" ht="16.5">
      <c r="J75" s="315"/>
      <c r="N75" s="315"/>
    </row>
    <row r="76" spans="10:14" ht="16.5">
      <c r="J76" s="315"/>
      <c r="N76" s="315"/>
    </row>
    <row r="77" spans="10:14" ht="16.5">
      <c r="J77" s="315"/>
      <c r="N77" s="315"/>
    </row>
    <row r="78" spans="10:14" ht="16.5">
      <c r="J78" s="315"/>
      <c r="N78" s="315"/>
    </row>
    <row r="79" spans="10:14" ht="16.5">
      <c r="J79" s="315"/>
      <c r="N79" s="315"/>
    </row>
    <row r="80" spans="10:14" ht="16.5">
      <c r="J80" s="315"/>
      <c r="N80" s="315"/>
    </row>
    <row r="81" spans="10:14" ht="16.5">
      <c r="J81" s="315"/>
      <c r="N81" s="315"/>
    </row>
    <row r="82" spans="10:14" ht="16.5">
      <c r="J82" s="315"/>
      <c r="N82" s="315"/>
    </row>
    <row r="83" spans="10:14" ht="16.5">
      <c r="J83" s="315"/>
      <c r="N83" s="315"/>
    </row>
    <row r="84" spans="10:14" ht="16.5">
      <c r="J84" s="315"/>
      <c r="N84" s="315"/>
    </row>
    <row r="85" spans="10:14" ht="16.5">
      <c r="J85" s="315"/>
      <c r="N85" s="315"/>
    </row>
    <row r="86" spans="10:14" ht="16.5">
      <c r="J86" s="315"/>
      <c r="N86" s="315"/>
    </row>
    <row r="87" spans="10:14" ht="16.5">
      <c r="J87" s="315"/>
      <c r="N87" s="315"/>
    </row>
    <row r="88" spans="10:14" ht="16.5">
      <c r="J88" s="315"/>
      <c r="N88" s="315"/>
    </row>
    <row r="89" spans="10:14" ht="16.5">
      <c r="J89" s="315"/>
      <c r="N89" s="315"/>
    </row>
    <row r="90" spans="10:14" ht="16.5">
      <c r="J90" s="315"/>
      <c r="N90" s="315"/>
    </row>
    <row r="91" spans="10:14" ht="16.5">
      <c r="J91" s="315"/>
      <c r="N91" s="315"/>
    </row>
    <row r="92" spans="10:14" ht="16.5">
      <c r="J92" s="315"/>
      <c r="N92" s="315"/>
    </row>
    <row r="93" spans="10:14" ht="16.5">
      <c r="J93" s="315"/>
      <c r="N93" s="315"/>
    </row>
    <row r="94" spans="10:14" ht="16.5">
      <c r="J94" s="315"/>
      <c r="N94" s="315"/>
    </row>
    <row r="95" spans="10:14" ht="16.5">
      <c r="J95" s="315"/>
      <c r="N95" s="315"/>
    </row>
    <row r="96" spans="10:14" ht="16.5">
      <c r="J96" s="315"/>
      <c r="N96" s="315"/>
    </row>
    <row r="97" spans="10:14" ht="16.5">
      <c r="J97" s="315"/>
      <c r="N97" s="315"/>
    </row>
    <row r="98" spans="10:14" ht="16.5">
      <c r="J98" s="315"/>
      <c r="N98" s="315"/>
    </row>
    <row r="99" spans="10:14" ht="16.5">
      <c r="J99" s="315"/>
      <c r="N99" s="315"/>
    </row>
    <row r="100" spans="10:14" ht="16.5">
      <c r="J100" s="315"/>
      <c r="N100" s="315"/>
    </row>
    <row r="101" spans="10:14" ht="16.5">
      <c r="J101" s="315"/>
      <c r="N101" s="315"/>
    </row>
    <row r="102" spans="10:14" ht="16.5">
      <c r="J102" s="315"/>
      <c r="N102" s="315"/>
    </row>
    <row r="103" spans="10:14" ht="16.5">
      <c r="J103" s="315"/>
      <c r="N103" s="315"/>
    </row>
    <row r="104" spans="10:14" ht="16.5">
      <c r="J104" s="315"/>
      <c r="N104" s="315"/>
    </row>
    <row r="105" spans="10:14" ht="16.5">
      <c r="J105" s="315"/>
      <c r="N105" s="315"/>
    </row>
    <row r="106" spans="10:14" ht="16.5">
      <c r="J106" s="315"/>
      <c r="N106" s="315"/>
    </row>
    <row r="107" spans="10:14" ht="16.5">
      <c r="J107" s="315"/>
      <c r="N107" s="315"/>
    </row>
    <row r="108" spans="10:14" ht="16.5">
      <c r="J108" s="315"/>
      <c r="N108" s="315"/>
    </row>
    <row r="109" spans="10:14" ht="16.5">
      <c r="J109" s="315"/>
      <c r="N109" s="315"/>
    </row>
    <row r="110" spans="10:14" ht="16.5">
      <c r="J110" s="315"/>
      <c r="N110" s="315"/>
    </row>
    <row r="111" spans="10:14" ht="16.5">
      <c r="J111" s="315"/>
      <c r="N111" s="315"/>
    </row>
    <row r="112" spans="10:14" ht="16.5">
      <c r="J112" s="315"/>
      <c r="N112" s="315"/>
    </row>
    <row r="113" spans="10:14" ht="16.5">
      <c r="J113" s="315"/>
      <c r="N113" s="315"/>
    </row>
    <row r="114" spans="10:14" ht="16.5">
      <c r="J114" s="315"/>
      <c r="N114" s="315"/>
    </row>
    <row r="115" spans="10:14" ht="16.5">
      <c r="J115" s="315"/>
      <c r="N115" s="315"/>
    </row>
    <row r="116" spans="10:14" ht="16.5">
      <c r="J116" s="315"/>
      <c r="N116" s="315"/>
    </row>
    <row r="117" spans="10:14" ht="16.5">
      <c r="J117" s="315"/>
      <c r="N117" s="315"/>
    </row>
    <row r="118" spans="10:14" ht="16.5">
      <c r="J118" s="315"/>
      <c r="N118" s="315"/>
    </row>
    <row r="119" spans="10:14" ht="16.5">
      <c r="J119" s="315"/>
      <c r="N119" s="315"/>
    </row>
    <row r="120" spans="10:14" ht="16.5">
      <c r="J120" s="315"/>
      <c r="N120" s="315"/>
    </row>
    <row r="121" spans="10:14" ht="16.5">
      <c r="J121" s="315"/>
      <c r="N121" s="315"/>
    </row>
    <row r="122" spans="10:14" ht="16.5">
      <c r="J122" s="315"/>
      <c r="N122" s="315"/>
    </row>
    <row r="123" spans="10:14" ht="16.5">
      <c r="J123" s="315"/>
      <c r="N123" s="315"/>
    </row>
    <row r="124" spans="10:14" ht="16.5">
      <c r="J124" s="315"/>
      <c r="N124" s="315"/>
    </row>
    <row r="125" spans="10:14" ht="16.5">
      <c r="J125" s="315"/>
      <c r="N125" s="315"/>
    </row>
    <row r="126" spans="10:14" ht="16.5">
      <c r="J126" s="315"/>
      <c r="N126" s="315"/>
    </row>
    <row r="127" spans="10:14" ht="16.5">
      <c r="J127" s="315"/>
      <c r="N127" s="315"/>
    </row>
    <row r="128" spans="10:14" ht="16.5">
      <c r="J128" s="315"/>
      <c r="N128" s="315"/>
    </row>
    <row r="129" spans="10:14" ht="16.5">
      <c r="J129" s="315"/>
      <c r="N129" s="315"/>
    </row>
    <row r="130" spans="10:14" ht="16.5">
      <c r="J130" s="315"/>
      <c r="N130" s="315"/>
    </row>
    <row r="131" spans="10:14" ht="16.5">
      <c r="J131" s="315"/>
      <c r="N131" s="315"/>
    </row>
    <row r="132" spans="10:14" ht="16.5">
      <c r="J132" s="315"/>
      <c r="N132" s="315"/>
    </row>
    <row r="133" spans="10:14" ht="16.5">
      <c r="J133" s="315"/>
      <c r="N133" s="315"/>
    </row>
    <row r="134" spans="10:14" ht="16.5">
      <c r="J134" s="315"/>
      <c r="N134" s="315"/>
    </row>
    <row r="135" spans="10:14" ht="16.5">
      <c r="J135" s="315"/>
      <c r="N135" s="315"/>
    </row>
    <row r="136" spans="10:14" ht="16.5">
      <c r="J136" s="315"/>
      <c r="N136" s="315"/>
    </row>
    <row r="137" spans="10:14" ht="16.5">
      <c r="J137" s="315"/>
      <c r="N137" s="315"/>
    </row>
    <row r="138" spans="10:14" ht="16.5">
      <c r="J138" s="315"/>
      <c r="N138" s="315"/>
    </row>
    <row r="139" spans="10:14" ht="16.5">
      <c r="J139" s="315"/>
      <c r="N139" s="315"/>
    </row>
    <row r="140" spans="10:14" ht="16.5">
      <c r="J140" s="315"/>
      <c r="N140" s="315"/>
    </row>
    <row r="141" spans="10:14" ht="16.5">
      <c r="J141" s="315"/>
      <c r="N141" s="315"/>
    </row>
    <row r="142" spans="10:14" ht="16.5">
      <c r="J142" s="315"/>
      <c r="N142" s="315"/>
    </row>
    <row r="143" spans="10:14" ht="16.5">
      <c r="J143" s="315"/>
      <c r="N143" s="315"/>
    </row>
    <row r="144" spans="10:14" ht="16.5">
      <c r="J144" s="315"/>
      <c r="N144" s="315"/>
    </row>
    <row r="145" spans="10:14" ht="16.5">
      <c r="J145" s="315"/>
      <c r="N145" s="315"/>
    </row>
    <row r="146" spans="10:14" ht="16.5">
      <c r="J146" s="315"/>
      <c r="N146" s="315"/>
    </row>
    <row r="147" spans="10:14" ht="16.5">
      <c r="J147" s="315"/>
      <c r="N147" s="315"/>
    </row>
    <row r="148" spans="10:14" ht="16.5">
      <c r="J148" s="315"/>
      <c r="N148" s="315"/>
    </row>
    <row r="149" spans="10:14" ht="16.5">
      <c r="J149" s="315"/>
      <c r="N149" s="315"/>
    </row>
    <row r="150" spans="10:14" ht="16.5">
      <c r="J150" s="315"/>
      <c r="N150" s="315"/>
    </row>
    <row r="151" spans="10:14" ht="16.5">
      <c r="J151" s="315"/>
      <c r="N151" s="315"/>
    </row>
    <row r="152" spans="10:14" ht="16.5">
      <c r="J152" s="315"/>
      <c r="N152" s="315"/>
    </row>
    <row r="153" spans="10:14" ht="16.5">
      <c r="J153" s="315"/>
      <c r="N153" s="315"/>
    </row>
    <row r="154" spans="10:14" ht="16.5">
      <c r="J154" s="315"/>
      <c r="N154" s="315"/>
    </row>
    <row r="155" spans="10:14" ht="16.5">
      <c r="J155" s="315"/>
      <c r="N155" s="315"/>
    </row>
    <row r="156" spans="10:14" ht="16.5">
      <c r="J156" s="315"/>
      <c r="N156" s="315"/>
    </row>
    <row r="157" spans="10:14" ht="16.5">
      <c r="J157" s="315"/>
      <c r="N157" s="315"/>
    </row>
    <row r="158" spans="10:14" ht="16.5">
      <c r="J158" s="315"/>
      <c r="N158" s="315"/>
    </row>
    <row r="159" spans="10:14" ht="16.5">
      <c r="J159" s="315"/>
      <c r="N159" s="315"/>
    </row>
    <row r="160" spans="10:14" ht="16.5">
      <c r="J160" s="315"/>
      <c r="N160" s="315"/>
    </row>
    <row r="161" spans="10:14" ht="16.5">
      <c r="J161" s="315"/>
      <c r="N161" s="315"/>
    </row>
    <row r="162" spans="10:14" ht="16.5">
      <c r="J162" s="315"/>
      <c r="N162" s="315"/>
    </row>
    <row r="163" spans="10:14" ht="16.5">
      <c r="J163" s="315"/>
      <c r="N163" s="315"/>
    </row>
    <row r="164" spans="10:14" ht="16.5">
      <c r="J164" s="315"/>
      <c r="N164" s="315"/>
    </row>
    <row r="165" spans="10:14" ht="16.5">
      <c r="J165" s="315"/>
      <c r="N165" s="315"/>
    </row>
    <row r="166" spans="10:14" ht="16.5">
      <c r="J166" s="315"/>
      <c r="N166" s="315"/>
    </row>
    <row r="167" spans="10:14" ht="16.5">
      <c r="J167" s="315"/>
      <c r="N167" s="315"/>
    </row>
    <row r="168" spans="10:14" ht="16.5">
      <c r="J168" s="315"/>
      <c r="N168" s="315"/>
    </row>
    <row r="169" spans="10:14" ht="16.5">
      <c r="J169" s="315"/>
      <c r="N169" s="315"/>
    </row>
    <row r="170" spans="10:14" ht="16.5">
      <c r="J170" s="315"/>
      <c r="N170" s="315"/>
    </row>
    <row r="171" spans="10:14" ht="16.5">
      <c r="J171" s="315"/>
      <c r="N171" s="315"/>
    </row>
    <row r="172" spans="10:14" ht="16.5">
      <c r="J172" s="315"/>
      <c r="N172" s="315"/>
    </row>
    <row r="173" spans="10:14" ht="16.5">
      <c r="J173" s="315"/>
      <c r="N173" s="315"/>
    </row>
    <row r="174" spans="10:14" ht="16.5">
      <c r="J174" s="315"/>
      <c r="N174" s="315"/>
    </row>
    <row r="175" spans="10:14" ht="16.5">
      <c r="J175" s="315"/>
      <c r="N175" s="315"/>
    </row>
    <row r="176" spans="10:14" ht="16.5">
      <c r="J176" s="315"/>
      <c r="N176" s="315"/>
    </row>
    <row r="177" spans="10:14" ht="16.5">
      <c r="J177" s="315"/>
      <c r="N177" s="315"/>
    </row>
    <row r="178" spans="10:14" ht="16.5">
      <c r="J178" s="315"/>
      <c r="N178" s="315"/>
    </row>
    <row r="179" spans="10:14" ht="16.5">
      <c r="J179" s="315"/>
      <c r="N179" s="315"/>
    </row>
    <row r="180" spans="10:14" ht="16.5">
      <c r="J180" s="315"/>
      <c r="N180" s="315"/>
    </row>
    <row r="181" spans="10:14" ht="16.5">
      <c r="J181" s="315"/>
      <c r="N181" s="315"/>
    </row>
    <row r="182" spans="10:14" ht="16.5">
      <c r="J182" s="315"/>
      <c r="N182" s="315"/>
    </row>
    <row r="183" spans="10:14" ht="16.5">
      <c r="J183" s="315"/>
      <c r="N183" s="315"/>
    </row>
    <row r="184" spans="10:14" ht="16.5">
      <c r="J184" s="315"/>
      <c r="N184" s="315"/>
    </row>
    <row r="185" spans="10:14" ht="16.5">
      <c r="J185" s="315"/>
      <c r="N185" s="315"/>
    </row>
    <row r="186" spans="10:14" ht="16.5">
      <c r="J186" s="315"/>
      <c r="N186" s="315"/>
    </row>
    <row r="187" spans="10:14" ht="16.5">
      <c r="J187" s="315"/>
      <c r="N187" s="315"/>
    </row>
    <row r="188" spans="10:14" ht="16.5">
      <c r="J188" s="315"/>
      <c r="N188" s="315"/>
    </row>
    <row r="189" spans="10:14" ht="16.5">
      <c r="J189" s="315"/>
      <c r="N189" s="315"/>
    </row>
    <row r="190" spans="10:14" ht="16.5">
      <c r="J190" s="315"/>
      <c r="N190" s="315"/>
    </row>
    <row r="191" spans="10:14" ht="16.5">
      <c r="J191" s="315"/>
      <c r="N191" s="315"/>
    </row>
    <row r="192" spans="10:14" ht="16.5">
      <c r="J192" s="315"/>
      <c r="N192" s="315"/>
    </row>
    <row r="193" spans="10:14" ht="16.5">
      <c r="J193" s="315"/>
      <c r="N193" s="315"/>
    </row>
    <row r="194" spans="10:14" ht="16.5">
      <c r="J194" s="315"/>
      <c r="N194" s="315"/>
    </row>
    <row r="195" spans="10:14" ht="16.5">
      <c r="J195" s="315"/>
      <c r="N195" s="315"/>
    </row>
    <row r="196" spans="10:14" ht="16.5">
      <c r="J196" s="315"/>
      <c r="N196" s="315"/>
    </row>
    <row r="197" spans="10:14" ht="16.5">
      <c r="J197" s="315"/>
      <c r="N197" s="315"/>
    </row>
    <row r="198" spans="10:14" ht="16.5">
      <c r="J198" s="315"/>
      <c r="N198" s="315"/>
    </row>
    <row r="199" spans="10:14" ht="16.5">
      <c r="J199" s="315"/>
      <c r="N199" s="315"/>
    </row>
    <row r="200" spans="10:14" ht="16.5">
      <c r="J200" s="315"/>
      <c r="N200" s="315"/>
    </row>
    <row r="201" spans="10:14" ht="16.5">
      <c r="J201" s="315"/>
      <c r="N201" s="315"/>
    </row>
    <row r="202" spans="10:14" ht="16.5">
      <c r="J202" s="315"/>
      <c r="N202" s="315"/>
    </row>
    <row r="203" spans="10:14" ht="16.5">
      <c r="J203" s="315"/>
      <c r="N203" s="315"/>
    </row>
    <row r="204" spans="10:14" ht="16.5">
      <c r="J204" s="315"/>
      <c r="N204" s="315"/>
    </row>
    <row r="205" spans="10:14" ht="16.5">
      <c r="J205" s="315"/>
      <c r="N205" s="315"/>
    </row>
    <row r="206" spans="10:14" ht="16.5">
      <c r="J206" s="315"/>
      <c r="N206" s="315"/>
    </row>
    <row r="207" spans="10:14" ht="16.5">
      <c r="J207" s="315"/>
      <c r="N207" s="315"/>
    </row>
    <row r="208" spans="10:14" ht="16.5">
      <c r="J208" s="315"/>
      <c r="N208" s="315"/>
    </row>
    <row r="209" spans="10:14" ht="16.5">
      <c r="J209" s="315"/>
      <c r="N209" s="315"/>
    </row>
    <row r="210" spans="10:14" ht="16.5">
      <c r="J210" s="315"/>
      <c r="N210" s="315"/>
    </row>
    <row r="211" spans="10:14" ht="16.5">
      <c r="J211" s="315"/>
      <c r="N211" s="315"/>
    </row>
    <row r="212" spans="10:14" ht="16.5">
      <c r="J212" s="315"/>
      <c r="N212" s="315"/>
    </row>
    <row r="213" spans="10:14" ht="16.5">
      <c r="J213" s="315"/>
      <c r="N213" s="315"/>
    </row>
    <row r="214" spans="10:14" ht="16.5">
      <c r="J214" s="315"/>
      <c r="N214" s="315"/>
    </row>
    <row r="215" spans="10:14" ht="16.5">
      <c r="J215" s="315"/>
      <c r="N215" s="315"/>
    </row>
    <row r="216" spans="10:14" ht="16.5">
      <c r="J216" s="315"/>
      <c r="N216" s="315"/>
    </row>
    <row r="217" spans="10:14" ht="16.5">
      <c r="J217" s="315"/>
      <c r="N217" s="315"/>
    </row>
    <row r="218" spans="10:14" ht="16.5">
      <c r="J218" s="315"/>
      <c r="N218" s="315"/>
    </row>
    <row r="219" spans="10:14" ht="16.5">
      <c r="J219" s="315"/>
      <c r="N219" s="315"/>
    </row>
    <row r="220" spans="10:14" ht="16.5">
      <c r="J220" s="315"/>
      <c r="N220" s="315"/>
    </row>
    <row r="221" spans="10:14" ht="16.5">
      <c r="J221" s="315"/>
      <c r="N221" s="315"/>
    </row>
    <row r="222" spans="10:14" ht="16.5">
      <c r="J222" s="315"/>
      <c r="N222" s="315"/>
    </row>
    <row r="223" spans="10:14" ht="16.5">
      <c r="J223" s="315"/>
      <c r="N223" s="315"/>
    </row>
    <row r="224" spans="10:14" ht="16.5">
      <c r="J224" s="315"/>
      <c r="N224" s="315"/>
    </row>
    <row r="225" spans="10:14" ht="16.5">
      <c r="J225" s="315"/>
      <c r="N225" s="315"/>
    </row>
    <row r="226" spans="10:14" ht="16.5">
      <c r="J226" s="315"/>
      <c r="N226" s="315"/>
    </row>
    <row r="227" spans="10:14" ht="16.5">
      <c r="J227" s="315"/>
      <c r="N227" s="315"/>
    </row>
    <row r="228" spans="10:14" ht="16.5">
      <c r="J228" s="315"/>
      <c r="N228" s="315"/>
    </row>
    <row r="229" spans="10:14" ht="16.5">
      <c r="J229" s="315"/>
      <c r="N229" s="315"/>
    </row>
    <row r="230" spans="10:14" ht="16.5">
      <c r="J230" s="315"/>
      <c r="N230" s="315"/>
    </row>
    <row r="231" spans="10:14" ht="16.5">
      <c r="J231" s="315"/>
      <c r="N231" s="315"/>
    </row>
    <row r="232" spans="10:14" ht="16.5">
      <c r="J232" s="315"/>
      <c r="N232" s="315"/>
    </row>
    <row r="233" spans="10:14" ht="16.5">
      <c r="J233" s="315"/>
      <c r="N233" s="315"/>
    </row>
    <row r="234" spans="10:14" ht="16.5">
      <c r="J234" s="315"/>
      <c r="N234" s="315"/>
    </row>
    <row r="235" spans="10:14" ht="16.5">
      <c r="J235" s="315"/>
      <c r="N235" s="315"/>
    </row>
    <row r="236" spans="10:14" ht="16.5">
      <c r="J236" s="315"/>
      <c r="N236" s="315"/>
    </row>
    <row r="237" spans="10:14" ht="16.5">
      <c r="J237" s="315"/>
      <c r="N237" s="315"/>
    </row>
    <row r="238" spans="10:14" ht="16.5">
      <c r="J238" s="315"/>
      <c r="N238" s="315"/>
    </row>
    <row r="239" spans="10:14" ht="16.5">
      <c r="J239" s="315"/>
      <c r="N239" s="315"/>
    </row>
    <row r="240" spans="10:14" ht="16.5">
      <c r="J240" s="315"/>
      <c r="N240" s="315"/>
    </row>
    <row r="241" spans="10:14" ht="16.5">
      <c r="J241" s="315"/>
      <c r="N241" s="315"/>
    </row>
    <row r="242" spans="10:14" ht="16.5">
      <c r="J242" s="315"/>
      <c r="N242" s="315"/>
    </row>
    <row r="243" spans="10:14" ht="16.5">
      <c r="J243" s="315"/>
      <c r="N243" s="315"/>
    </row>
    <row r="244" spans="10:14" ht="16.5">
      <c r="J244" s="315"/>
      <c r="N244" s="315"/>
    </row>
    <row r="245" spans="10:14" ht="16.5">
      <c r="J245" s="315"/>
      <c r="N245" s="315"/>
    </row>
    <row r="246" spans="10:14" ht="16.5">
      <c r="J246" s="315"/>
      <c r="N246" s="315"/>
    </row>
    <row r="247" spans="10:14" ht="16.5">
      <c r="J247" s="315"/>
      <c r="N247" s="315"/>
    </row>
    <row r="248" spans="10:14" ht="16.5">
      <c r="J248" s="315"/>
      <c r="N248" s="315"/>
    </row>
    <row r="249" spans="10:14" ht="16.5">
      <c r="J249" s="315"/>
      <c r="N249" s="315"/>
    </row>
    <row r="250" spans="10:14" ht="16.5">
      <c r="J250" s="315"/>
      <c r="N250" s="315"/>
    </row>
    <row r="251" spans="10:14" ht="16.5">
      <c r="J251" s="315"/>
      <c r="N251" s="315"/>
    </row>
    <row r="252" spans="10:14" ht="16.5">
      <c r="J252" s="315"/>
      <c r="N252" s="315"/>
    </row>
    <row r="253" spans="10:14" ht="16.5">
      <c r="J253" s="315"/>
      <c r="N253" s="315"/>
    </row>
    <row r="254" spans="10:14" ht="16.5">
      <c r="J254" s="315"/>
      <c r="N254" s="315"/>
    </row>
    <row r="255" spans="10:14" ht="16.5">
      <c r="J255" s="315"/>
      <c r="N255" s="315"/>
    </row>
    <row r="256" spans="10:14" ht="16.5">
      <c r="J256" s="315"/>
      <c r="N256" s="315"/>
    </row>
    <row r="257" spans="10:14" ht="16.5">
      <c r="J257" s="315"/>
      <c r="N257" s="315"/>
    </row>
    <row r="258" spans="10:14" ht="16.5">
      <c r="J258" s="315"/>
      <c r="N258" s="315"/>
    </row>
    <row r="259" spans="10:14" ht="16.5">
      <c r="J259" s="315"/>
      <c r="N259" s="315"/>
    </row>
    <row r="260" spans="10:14" ht="16.5">
      <c r="J260" s="315"/>
      <c r="N260" s="315"/>
    </row>
    <row r="261" spans="10:14" ht="16.5">
      <c r="J261" s="315"/>
      <c r="N261" s="315"/>
    </row>
    <row r="262" spans="10:14" ht="16.5">
      <c r="J262" s="315"/>
      <c r="N262" s="315"/>
    </row>
    <row r="263" spans="10:14" ht="16.5">
      <c r="J263" s="315"/>
      <c r="N263" s="315"/>
    </row>
    <row r="264" spans="10:14" ht="16.5">
      <c r="J264" s="315"/>
      <c r="N264" s="315"/>
    </row>
    <row r="265" spans="10:14" ht="16.5">
      <c r="J265" s="315"/>
      <c r="N265" s="315"/>
    </row>
    <row r="266" spans="10:14" ht="16.5">
      <c r="J266" s="315"/>
      <c r="N266" s="315"/>
    </row>
    <row r="267" spans="10:14" ht="16.5">
      <c r="J267" s="315"/>
      <c r="N267" s="315"/>
    </row>
    <row r="268" spans="10:14" ht="16.5">
      <c r="J268" s="315"/>
      <c r="N268" s="315"/>
    </row>
    <row r="269" spans="10:14" ht="16.5">
      <c r="J269" s="315"/>
      <c r="N269" s="315"/>
    </row>
    <row r="270" spans="10:14" ht="16.5">
      <c r="J270" s="315"/>
      <c r="N270" s="315"/>
    </row>
    <row r="271" spans="10:14" ht="16.5">
      <c r="J271" s="315"/>
      <c r="N271" s="315"/>
    </row>
    <row r="272" spans="10:14" ht="16.5">
      <c r="J272" s="315"/>
      <c r="N272" s="315"/>
    </row>
    <row r="273" spans="10:14" ht="16.5">
      <c r="J273" s="315"/>
      <c r="N273" s="315"/>
    </row>
    <row r="274" spans="10:14" ht="16.5">
      <c r="J274" s="315"/>
      <c r="N274" s="315"/>
    </row>
    <row r="275" spans="10:14" ht="16.5">
      <c r="J275" s="315"/>
      <c r="N275" s="315"/>
    </row>
    <row r="276" spans="10:14" ht="16.5">
      <c r="J276" s="315"/>
      <c r="N276" s="315"/>
    </row>
    <row r="277" spans="10:14" ht="16.5">
      <c r="J277" s="315"/>
      <c r="N277" s="315"/>
    </row>
    <row r="278" spans="10:14" ht="16.5">
      <c r="J278" s="315"/>
      <c r="N278" s="315"/>
    </row>
    <row r="279" spans="10:14" ht="16.5">
      <c r="J279" s="315"/>
      <c r="N279" s="315"/>
    </row>
    <row r="280" spans="10:14" ht="16.5">
      <c r="J280" s="315"/>
      <c r="N280" s="315"/>
    </row>
    <row r="281" spans="10:14" ht="16.5">
      <c r="J281" s="315"/>
      <c r="N281" s="315"/>
    </row>
    <row r="282" spans="10:14" ht="16.5">
      <c r="J282" s="315"/>
      <c r="N282" s="315"/>
    </row>
    <row r="283" spans="10:14" ht="16.5">
      <c r="J283" s="315"/>
      <c r="N283" s="315"/>
    </row>
    <row r="284" spans="10:14" ht="16.5">
      <c r="J284" s="315"/>
      <c r="N284" s="315"/>
    </row>
    <row r="285" spans="10:14" ht="16.5">
      <c r="J285" s="315"/>
      <c r="N285" s="315"/>
    </row>
    <row r="286" spans="10:14" ht="16.5">
      <c r="J286" s="315"/>
      <c r="N286" s="315"/>
    </row>
    <row r="287" spans="10:14" ht="16.5">
      <c r="J287" s="315"/>
      <c r="N287" s="315"/>
    </row>
    <row r="288" spans="10:14" ht="16.5">
      <c r="J288" s="315"/>
      <c r="N288" s="315"/>
    </row>
    <row r="289" spans="10:14" ht="16.5">
      <c r="J289" s="315"/>
      <c r="N289" s="315"/>
    </row>
    <row r="290" spans="10:14" ht="16.5">
      <c r="J290" s="315"/>
      <c r="N290" s="315"/>
    </row>
    <row r="291" spans="10:14" ht="16.5">
      <c r="J291" s="315"/>
      <c r="N291" s="315"/>
    </row>
    <row r="292" spans="10:14" ht="16.5">
      <c r="J292" s="315"/>
      <c r="N292" s="315"/>
    </row>
    <row r="293" spans="10:14" ht="16.5">
      <c r="J293" s="315"/>
      <c r="N293" s="315"/>
    </row>
    <row r="294" spans="10:14" ht="16.5">
      <c r="J294" s="315"/>
      <c r="N294" s="315"/>
    </row>
    <row r="295" spans="10:14" ht="16.5">
      <c r="J295" s="315"/>
      <c r="N295" s="315"/>
    </row>
    <row r="296" spans="10:14" ht="16.5">
      <c r="J296" s="315"/>
      <c r="N296" s="315"/>
    </row>
    <row r="297" spans="10:14" ht="16.5">
      <c r="J297" s="315"/>
      <c r="N297" s="315"/>
    </row>
    <row r="298" spans="10:14" ht="16.5">
      <c r="J298" s="315"/>
      <c r="N298" s="315"/>
    </row>
    <row r="299" spans="10:14" ht="16.5">
      <c r="J299" s="315"/>
      <c r="N299" s="315"/>
    </row>
    <row r="300" spans="10:14" ht="16.5">
      <c r="J300" s="315"/>
      <c r="N300" s="315"/>
    </row>
    <row r="301" spans="10:14" ht="16.5">
      <c r="J301" s="315"/>
      <c r="N301" s="315"/>
    </row>
    <row r="302" spans="10:14" ht="16.5">
      <c r="J302" s="315"/>
      <c r="N302" s="315"/>
    </row>
    <row r="303" spans="10:14" ht="16.5">
      <c r="J303" s="315"/>
      <c r="N303" s="315"/>
    </row>
    <row r="304" spans="10:14" ht="16.5">
      <c r="J304" s="315"/>
      <c r="N304" s="315"/>
    </row>
    <row r="305" spans="10:14" ht="16.5">
      <c r="J305" s="315"/>
      <c r="N305" s="315"/>
    </row>
    <row r="306" spans="10:14" ht="16.5">
      <c r="J306" s="315"/>
      <c r="N306" s="315"/>
    </row>
    <row r="307" spans="10:14" ht="16.5">
      <c r="J307" s="315"/>
      <c r="N307" s="315"/>
    </row>
    <row r="308" spans="10:14" ht="16.5">
      <c r="J308" s="315"/>
      <c r="N308" s="315"/>
    </row>
    <row r="309" spans="10:14" ht="16.5">
      <c r="J309" s="315"/>
      <c r="N309" s="315"/>
    </row>
    <row r="310" spans="10:14" ht="16.5">
      <c r="J310" s="315"/>
      <c r="N310" s="315"/>
    </row>
    <row r="311" spans="10:14" ht="16.5">
      <c r="J311" s="315"/>
      <c r="N311" s="315"/>
    </row>
    <row r="312" spans="10:14" ht="16.5">
      <c r="J312" s="315"/>
      <c r="N312" s="315"/>
    </row>
    <row r="313" spans="10:14" ht="16.5">
      <c r="J313" s="315"/>
      <c r="N313" s="315"/>
    </row>
    <row r="314" spans="10:14" ht="16.5">
      <c r="J314" s="315"/>
      <c r="N314" s="315"/>
    </row>
    <row r="315" spans="10:14" ht="16.5">
      <c r="J315" s="315"/>
      <c r="N315" s="315"/>
    </row>
    <row r="316" spans="10:14" ht="16.5">
      <c r="J316" s="315"/>
      <c r="N316" s="315"/>
    </row>
    <row r="317" spans="10:14" ht="16.5">
      <c r="J317" s="315"/>
      <c r="N317" s="315"/>
    </row>
    <row r="318" spans="10:14" ht="16.5">
      <c r="J318" s="315"/>
      <c r="N318" s="315"/>
    </row>
    <row r="319" spans="10:14" ht="16.5">
      <c r="J319" s="315"/>
      <c r="N319" s="315"/>
    </row>
    <row r="320" spans="10:14" ht="16.5">
      <c r="J320" s="315"/>
      <c r="N320" s="315"/>
    </row>
    <row r="321" spans="10:14" ht="16.5">
      <c r="J321" s="315"/>
      <c r="N321" s="315"/>
    </row>
    <row r="322" spans="10:14" ht="16.5">
      <c r="J322" s="315"/>
      <c r="N322" s="315"/>
    </row>
    <row r="323" spans="10:14" ht="16.5">
      <c r="J323" s="315"/>
      <c r="N323" s="315"/>
    </row>
    <row r="324" spans="10:14" ht="16.5">
      <c r="J324" s="315"/>
      <c r="N324" s="315"/>
    </row>
    <row r="325" spans="10:14" ht="16.5">
      <c r="J325" s="315"/>
      <c r="N325" s="315"/>
    </row>
    <row r="326" spans="10:14" ht="16.5">
      <c r="J326" s="315"/>
      <c r="N326" s="315"/>
    </row>
    <row r="327" spans="10:14" ht="16.5">
      <c r="J327" s="315"/>
      <c r="N327" s="315"/>
    </row>
    <row r="328" spans="10:14" ht="16.5">
      <c r="J328" s="315"/>
      <c r="N328" s="315"/>
    </row>
    <row r="329" spans="10:14" ht="16.5">
      <c r="J329" s="315"/>
      <c r="N329" s="315"/>
    </row>
    <row r="330" spans="10:14" ht="16.5">
      <c r="J330" s="315"/>
      <c r="N330" s="315"/>
    </row>
    <row r="331" spans="10:14" ht="16.5">
      <c r="J331" s="315"/>
      <c r="N331" s="315"/>
    </row>
    <row r="332" spans="10:14" ht="16.5">
      <c r="J332" s="315"/>
      <c r="N332" s="315"/>
    </row>
    <row r="333" spans="10:14" ht="16.5">
      <c r="J333" s="315"/>
      <c r="N333" s="315"/>
    </row>
    <row r="334" spans="10:14" ht="16.5">
      <c r="J334" s="315"/>
      <c r="N334" s="315"/>
    </row>
    <row r="335" spans="10:14" ht="16.5">
      <c r="J335" s="315"/>
      <c r="N335" s="315"/>
    </row>
    <row r="336" spans="10:14" ht="16.5">
      <c r="J336" s="315"/>
      <c r="N336" s="315"/>
    </row>
    <row r="337" spans="10:14" ht="16.5">
      <c r="J337" s="315"/>
      <c r="N337" s="315"/>
    </row>
    <row r="338" spans="10:14" ht="16.5">
      <c r="J338" s="315"/>
      <c r="N338" s="315"/>
    </row>
    <row r="339" spans="10:14" ht="16.5">
      <c r="J339" s="315"/>
      <c r="N339" s="315"/>
    </row>
    <row r="340" spans="10:14" ht="16.5">
      <c r="J340" s="315"/>
      <c r="N340" s="315"/>
    </row>
    <row r="341" spans="10:14" ht="16.5">
      <c r="J341" s="315"/>
      <c r="N341" s="315"/>
    </row>
    <row r="342" spans="10:14" ht="16.5">
      <c r="J342" s="315"/>
      <c r="N342" s="315"/>
    </row>
    <row r="343" spans="10:14" ht="16.5">
      <c r="J343" s="315"/>
      <c r="N343" s="315"/>
    </row>
    <row r="344" spans="10:14" ht="16.5">
      <c r="J344" s="315"/>
      <c r="N344" s="315"/>
    </row>
    <row r="345" ht="16.5">
      <c r="J345" s="315"/>
    </row>
    <row r="346" ht="16.5">
      <c r="J346" s="315"/>
    </row>
    <row r="347" ht="16.5">
      <c r="J347" s="315"/>
    </row>
    <row r="348" ht="16.5">
      <c r="J348" s="315"/>
    </row>
    <row r="349" ht="16.5">
      <c r="J349" s="315"/>
    </row>
    <row r="350" ht="16.5">
      <c r="J350" s="315"/>
    </row>
    <row r="351" ht="16.5">
      <c r="J351" s="315"/>
    </row>
    <row r="352" ht="16.5">
      <c r="J352" s="315"/>
    </row>
    <row r="353" ht="16.5">
      <c r="J353" s="315"/>
    </row>
    <row r="354" ht="16.5">
      <c r="J354" s="315"/>
    </row>
    <row r="355" ht="16.5">
      <c r="J355" s="315"/>
    </row>
    <row r="356" ht="16.5">
      <c r="J356" s="315"/>
    </row>
    <row r="357" ht="16.5">
      <c r="J357" s="315"/>
    </row>
    <row r="358" ht="16.5">
      <c r="J358" s="315"/>
    </row>
    <row r="359" ht="16.5">
      <c r="J359" s="315"/>
    </row>
    <row r="360" ht="16.5">
      <c r="J360" s="315"/>
    </row>
    <row r="361" ht="16.5">
      <c r="J361" s="315"/>
    </row>
    <row r="362" ht="16.5">
      <c r="J362" s="315"/>
    </row>
    <row r="363" ht="16.5">
      <c r="J363" s="315"/>
    </row>
    <row r="364" ht="16.5">
      <c r="J364" s="315"/>
    </row>
    <row r="365" ht="16.5">
      <c r="J365" s="315"/>
    </row>
    <row r="366" ht="16.5">
      <c r="J366" s="315"/>
    </row>
    <row r="367" ht="16.5">
      <c r="J367" s="315"/>
    </row>
    <row r="368" ht="16.5">
      <c r="J368" s="315"/>
    </row>
    <row r="369" ht="16.5">
      <c r="J369" s="315"/>
    </row>
    <row r="370" ht="16.5">
      <c r="J370" s="315"/>
    </row>
    <row r="371" ht="16.5">
      <c r="J371" s="315"/>
    </row>
    <row r="372" ht="16.5">
      <c r="J372" s="315"/>
    </row>
    <row r="373" ht="16.5">
      <c r="J373" s="315"/>
    </row>
    <row r="374" ht="16.5">
      <c r="J374" s="315"/>
    </row>
    <row r="375" ht="16.5">
      <c r="J375" s="315"/>
    </row>
    <row r="376" ht="16.5">
      <c r="J376" s="315"/>
    </row>
    <row r="377" ht="16.5">
      <c r="J377" s="315"/>
    </row>
    <row r="378" ht="16.5">
      <c r="J378" s="315"/>
    </row>
    <row r="379" ht="16.5">
      <c r="J379" s="315"/>
    </row>
    <row r="380" ht="16.5">
      <c r="J380" s="315"/>
    </row>
    <row r="381" ht="16.5">
      <c r="J381" s="315"/>
    </row>
    <row r="382" ht="16.5">
      <c r="J382" s="315"/>
    </row>
    <row r="383" ht="16.5">
      <c r="J383" s="315"/>
    </row>
    <row r="384" ht="16.5">
      <c r="J384" s="315"/>
    </row>
    <row r="385" ht="16.5">
      <c r="J385" s="315"/>
    </row>
    <row r="386" ht="16.5">
      <c r="J386" s="315"/>
    </row>
    <row r="387" ht="16.5">
      <c r="J387" s="315"/>
    </row>
    <row r="388" ht="16.5">
      <c r="J388" s="315"/>
    </row>
    <row r="389" ht="16.5">
      <c r="J389" s="315"/>
    </row>
    <row r="390" ht="16.5">
      <c r="J390" s="315"/>
    </row>
    <row r="391" ht="16.5">
      <c r="J391" s="315"/>
    </row>
    <row r="392" ht="16.5">
      <c r="J392" s="315"/>
    </row>
    <row r="393" ht="16.5">
      <c r="J393" s="315"/>
    </row>
    <row r="394" ht="16.5">
      <c r="J394" s="315"/>
    </row>
    <row r="395" ht="16.5">
      <c r="J395" s="315"/>
    </row>
    <row r="396" ht="16.5">
      <c r="J396" s="315"/>
    </row>
    <row r="397" ht="16.5">
      <c r="J397" s="315"/>
    </row>
    <row r="398" ht="16.5">
      <c r="J398" s="315"/>
    </row>
    <row r="399" ht="16.5">
      <c r="J399" s="315"/>
    </row>
    <row r="400" ht="16.5">
      <c r="J400" s="315"/>
    </row>
    <row r="401" ht="16.5">
      <c r="J401" s="315"/>
    </row>
    <row r="402" ht="16.5">
      <c r="J402" s="315"/>
    </row>
    <row r="403" ht="16.5">
      <c r="J403" s="315"/>
    </row>
    <row r="404" ht="16.5">
      <c r="J404" s="315"/>
    </row>
    <row r="405" ht="16.5">
      <c r="J405" s="315"/>
    </row>
    <row r="406" ht="16.5">
      <c r="J406" s="315"/>
    </row>
    <row r="407" ht="16.5">
      <c r="J407" s="315"/>
    </row>
    <row r="408" ht="16.5">
      <c r="J408" s="315"/>
    </row>
    <row r="409" ht="16.5">
      <c r="J409" s="315"/>
    </row>
    <row r="410" ht="16.5">
      <c r="J410" s="315"/>
    </row>
    <row r="411" ht="16.5">
      <c r="J411" s="315"/>
    </row>
    <row r="412" ht="16.5">
      <c r="J412" s="315"/>
    </row>
    <row r="413" ht="16.5">
      <c r="J413" s="315"/>
    </row>
    <row r="414" ht="16.5">
      <c r="J414" s="315"/>
    </row>
    <row r="415" ht="16.5">
      <c r="J415" s="315"/>
    </row>
    <row r="416" ht="16.5">
      <c r="J416" s="315"/>
    </row>
    <row r="417" ht="16.5">
      <c r="J417" s="315"/>
    </row>
    <row r="418" ht="16.5">
      <c r="J418" s="315"/>
    </row>
    <row r="419" ht="16.5">
      <c r="J419" s="315"/>
    </row>
    <row r="420" ht="16.5">
      <c r="J420" s="315"/>
    </row>
    <row r="421" ht="16.5">
      <c r="J421" s="315"/>
    </row>
    <row r="422" ht="16.5">
      <c r="J422" s="315"/>
    </row>
    <row r="423" ht="16.5">
      <c r="J423" s="315"/>
    </row>
    <row r="424" ht="16.5">
      <c r="J424" s="315"/>
    </row>
    <row r="425" ht="16.5">
      <c r="J425" s="315"/>
    </row>
    <row r="426" ht="16.5">
      <c r="J426" s="315"/>
    </row>
    <row r="427" ht="16.5">
      <c r="J427" s="315"/>
    </row>
    <row r="428" ht="16.5">
      <c r="J428" s="315"/>
    </row>
    <row r="429" ht="16.5">
      <c r="J429" s="315"/>
    </row>
    <row r="430" ht="16.5">
      <c r="J430" s="315"/>
    </row>
    <row r="431" ht="16.5">
      <c r="J431" s="315"/>
    </row>
    <row r="432" ht="16.5">
      <c r="J432" s="315"/>
    </row>
    <row r="433" ht="16.5">
      <c r="J433" s="315"/>
    </row>
    <row r="434" ht="16.5">
      <c r="J434" s="315"/>
    </row>
    <row r="435" ht="16.5">
      <c r="J435" s="315"/>
    </row>
    <row r="436" ht="16.5">
      <c r="J436" s="315"/>
    </row>
    <row r="437" ht="16.5">
      <c r="J437" s="315"/>
    </row>
    <row r="438" ht="16.5">
      <c r="J438" s="315"/>
    </row>
    <row r="439" ht="16.5">
      <c r="J439" s="315"/>
    </row>
    <row r="440" ht="16.5">
      <c r="J440" s="315"/>
    </row>
    <row r="441" ht="16.5">
      <c r="J441" s="315"/>
    </row>
    <row r="442" ht="16.5">
      <c r="J442" s="315"/>
    </row>
    <row r="443" ht="16.5">
      <c r="J443" s="315"/>
    </row>
    <row r="444" ht="16.5">
      <c r="J444" s="315"/>
    </row>
    <row r="445" ht="16.5">
      <c r="J445" s="315"/>
    </row>
    <row r="446" ht="16.5">
      <c r="J446" s="315"/>
    </row>
    <row r="447" ht="16.5">
      <c r="J447" s="315"/>
    </row>
    <row r="448" ht="16.5">
      <c r="J448" s="315"/>
    </row>
    <row r="449" ht="16.5">
      <c r="J449" s="315"/>
    </row>
    <row r="450" ht="16.5">
      <c r="J450" s="315"/>
    </row>
    <row r="451" ht="16.5">
      <c r="J451" s="315"/>
    </row>
    <row r="452" ht="16.5">
      <c r="J452" s="315"/>
    </row>
    <row r="453" ht="16.5">
      <c r="J453" s="315"/>
    </row>
    <row r="454" ht="16.5">
      <c r="J454" s="315"/>
    </row>
    <row r="455" ht="16.5">
      <c r="J455" s="315"/>
    </row>
    <row r="456" ht="16.5">
      <c r="J456" s="315"/>
    </row>
    <row r="457" ht="16.5">
      <c r="J457" s="315"/>
    </row>
    <row r="458" ht="16.5">
      <c r="J458" s="315"/>
    </row>
    <row r="459" ht="16.5">
      <c r="J459" s="315"/>
    </row>
    <row r="460" ht="16.5">
      <c r="J460" s="315"/>
    </row>
    <row r="461" ht="16.5">
      <c r="J461" s="315"/>
    </row>
    <row r="462" ht="16.5">
      <c r="J462" s="315"/>
    </row>
    <row r="463" ht="16.5">
      <c r="J463" s="315"/>
    </row>
    <row r="464" ht="16.5">
      <c r="J464" s="315"/>
    </row>
    <row r="465" ht="16.5">
      <c r="J465" s="315"/>
    </row>
    <row r="466" ht="16.5">
      <c r="J466" s="315"/>
    </row>
    <row r="467" ht="16.5">
      <c r="J467" s="315"/>
    </row>
    <row r="468" ht="16.5">
      <c r="J468" s="315"/>
    </row>
    <row r="469" ht="16.5">
      <c r="J469" s="315"/>
    </row>
    <row r="470" ht="16.5">
      <c r="J470" s="315"/>
    </row>
    <row r="471" ht="16.5">
      <c r="J471" s="315"/>
    </row>
    <row r="472" ht="16.5">
      <c r="J472" s="315"/>
    </row>
    <row r="473" ht="16.5">
      <c r="J473" s="315"/>
    </row>
    <row r="474" ht="16.5">
      <c r="J474" s="315"/>
    </row>
    <row r="475" ht="16.5">
      <c r="J475" s="315"/>
    </row>
    <row r="476" ht="16.5">
      <c r="J476" s="315"/>
    </row>
    <row r="477" ht="16.5">
      <c r="J477" s="315"/>
    </row>
    <row r="478" ht="16.5">
      <c r="J478" s="315"/>
    </row>
    <row r="479" ht="16.5">
      <c r="J479" s="315"/>
    </row>
    <row r="480" ht="16.5">
      <c r="J480" s="315"/>
    </row>
    <row r="481" ht="16.5">
      <c r="J481" s="315"/>
    </row>
    <row r="482" ht="16.5">
      <c r="J482" s="315"/>
    </row>
    <row r="483" ht="16.5">
      <c r="J483" s="315"/>
    </row>
    <row r="484" ht="16.5">
      <c r="J484" s="315"/>
    </row>
    <row r="485" ht="16.5">
      <c r="J485" s="315"/>
    </row>
    <row r="486" ht="16.5">
      <c r="J486" s="315"/>
    </row>
    <row r="487" ht="16.5">
      <c r="J487" s="315"/>
    </row>
    <row r="488" ht="16.5">
      <c r="J488" s="315"/>
    </row>
    <row r="489" ht="16.5">
      <c r="J489" s="315"/>
    </row>
    <row r="490" ht="16.5">
      <c r="J490" s="315"/>
    </row>
    <row r="491" ht="16.5">
      <c r="J491" s="315"/>
    </row>
    <row r="492" ht="16.5">
      <c r="J492" s="315"/>
    </row>
    <row r="493" ht="16.5">
      <c r="J493" s="315"/>
    </row>
    <row r="494" ht="16.5">
      <c r="J494" s="315"/>
    </row>
    <row r="495" ht="16.5">
      <c r="J495" s="315"/>
    </row>
    <row r="496" ht="16.5">
      <c r="J496" s="315"/>
    </row>
    <row r="497" ht="16.5">
      <c r="J497" s="315"/>
    </row>
    <row r="498" ht="16.5">
      <c r="J498" s="315"/>
    </row>
    <row r="499" ht="16.5">
      <c r="J499" s="315"/>
    </row>
    <row r="500" ht="16.5">
      <c r="J500" s="315"/>
    </row>
    <row r="501" ht="16.5">
      <c r="J501" s="315"/>
    </row>
    <row r="502" ht="16.5">
      <c r="J502" s="315"/>
    </row>
    <row r="503" ht="16.5">
      <c r="J503" s="315"/>
    </row>
    <row r="504" ht="16.5">
      <c r="J504" s="315"/>
    </row>
    <row r="505" ht="16.5">
      <c r="J505" s="315"/>
    </row>
    <row r="506" ht="16.5">
      <c r="J506" s="315"/>
    </row>
    <row r="507" ht="16.5">
      <c r="J507" s="315"/>
    </row>
    <row r="508" ht="16.5">
      <c r="J508" s="315"/>
    </row>
    <row r="509" ht="16.5">
      <c r="J509" s="315"/>
    </row>
    <row r="510" ht="16.5">
      <c r="J510" s="315"/>
    </row>
    <row r="511" ht="16.5">
      <c r="J511" s="315"/>
    </row>
    <row r="512" ht="16.5">
      <c r="J512" s="315"/>
    </row>
    <row r="513" ht="16.5">
      <c r="J513" s="315"/>
    </row>
    <row r="514" ht="16.5">
      <c r="J514" s="315"/>
    </row>
    <row r="515" ht="16.5">
      <c r="J515" s="315"/>
    </row>
    <row r="516" ht="16.5">
      <c r="J516" s="315"/>
    </row>
    <row r="517" ht="16.5">
      <c r="J517" s="315"/>
    </row>
    <row r="518" ht="16.5">
      <c r="J518" s="315"/>
    </row>
    <row r="519" ht="16.5">
      <c r="J519" s="315"/>
    </row>
    <row r="520" ht="16.5">
      <c r="J520" s="315"/>
    </row>
    <row r="521" ht="16.5">
      <c r="J521" s="315"/>
    </row>
    <row r="522" ht="16.5">
      <c r="J522" s="315"/>
    </row>
    <row r="523" ht="16.5">
      <c r="J523" s="315"/>
    </row>
    <row r="524" ht="16.5">
      <c r="J524" s="315"/>
    </row>
    <row r="525" ht="16.5">
      <c r="J525" s="315"/>
    </row>
    <row r="526" ht="16.5">
      <c r="J526" s="315"/>
    </row>
    <row r="527" ht="16.5">
      <c r="J527" s="315"/>
    </row>
    <row r="528" ht="16.5">
      <c r="J528" s="315"/>
    </row>
    <row r="529" ht="16.5">
      <c r="J529" s="315"/>
    </row>
    <row r="530" ht="16.5">
      <c r="J530" s="315"/>
    </row>
    <row r="531" ht="16.5">
      <c r="J531" s="315"/>
    </row>
    <row r="532" ht="16.5">
      <c r="J532" s="315"/>
    </row>
    <row r="533" ht="16.5">
      <c r="J533" s="315"/>
    </row>
    <row r="534" ht="16.5">
      <c r="J534" s="315"/>
    </row>
    <row r="535" ht="16.5">
      <c r="J535" s="315"/>
    </row>
    <row r="536" ht="16.5">
      <c r="J536" s="315"/>
    </row>
    <row r="537" ht="16.5">
      <c r="J537" s="315"/>
    </row>
    <row r="538" ht="16.5">
      <c r="J538" s="315"/>
    </row>
    <row r="539" ht="16.5">
      <c r="J539" s="315"/>
    </row>
    <row r="540" ht="16.5">
      <c r="J540" s="315"/>
    </row>
    <row r="541" ht="16.5">
      <c r="J541" s="315"/>
    </row>
    <row r="542" ht="16.5">
      <c r="J542" s="315"/>
    </row>
    <row r="543" ht="16.5">
      <c r="J543" s="315"/>
    </row>
    <row r="544" ht="16.5">
      <c r="J544" s="315"/>
    </row>
    <row r="545" ht="16.5">
      <c r="J545" s="315"/>
    </row>
    <row r="546" ht="16.5">
      <c r="J546" s="315"/>
    </row>
    <row r="547" ht="16.5">
      <c r="J547" s="315"/>
    </row>
    <row r="548" ht="16.5">
      <c r="J548" s="315"/>
    </row>
    <row r="549" ht="16.5">
      <c r="J549" s="315"/>
    </row>
    <row r="550" ht="16.5">
      <c r="J550" s="315"/>
    </row>
    <row r="551" ht="16.5">
      <c r="J551" s="315"/>
    </row>
    <row r="552" ht="16.5">
      <c r="J552" s="315"/>
    </row>
    <row r="553" ht="16.5">
      <c r="J553" s="315"/>
    </row>
    <row r="554" ht="16.5">
      <c r="J554" s="315"/>
    </row>
    <row r="555" ht="16.5">
      <c r="J555" s="315"/>
    </row>
    <row r="556" ht="16.5">
      <c r="J556" s="315"/>
    </row>
    <row r="557" ht="16.5">
      <c r="J557" s="315"/>
    </row>
    <row r="558" ht="16.5">
      <c r="J558" s="315"/>
    </row>
    <row r="559" ht="16.5">
      <c r="J559" s="315"/>
    </row>
    <row r="560" ht="16.5">
      <c r="J560" s="315"/>
    </row>
    <row r="561" ht="16.5">
      <c r="J561" s="315"/>
    </row>
    <row r="562" ht="16.5">
      <c r="J562" s="315"/>
    </row>
    <row r="563" ht="16.5">
      <c r="J563" s="315"/>
    </row>
    <row r="564" ht="16.5">
      <c r="J564" s="315"/>
    </row>
    <row r="565" ht="16.5">
      <c r="J565" s="315"/>
    </row>
    <row r="566" ht="16.5">
      <c r="J566" s="315"/>
    </row>
    <row r="567" ht="16.5">
      <c r="J567" s="315"/>
    </row>
    <row r="568" ht="16.5">
      <c r="J568" s="315"/>
    </row>
    <row r="569" ht="16.5">
      <c r="J569" s="315"/>
    </row>
    <row r="570" ht="16.5">
      <c r="J570" s="315"/>
    </row>
    <row r="571" ht="16.5">
      <c r="J571" s="315"/>
    </row>
    <row r="572" ht="16.5">
      <c r="J572" s="315"/>
    </row>
    <row r="573" ht="16.5">
      <c r="J573" s="315"/>
    </row>
    <row r="574" ht="16.5">
      <c r="J574" s="315"/>
    </row>
    <row r="575" ht="16.5">
      <c r="J575" s="315"/>
    </row>
    <row r="576" ht="16.5">
      <c r="J576" s="315"/>
    </row>
    <row r="577" ht="16.5">
      <c r="J577" s="315"/>
    </row>
    <row r="578" ht="16.5">
      <c r="J578" s="315"/>
    </row>
    <row r="579" ht="16.5">
      <c r="J579" s="315"/>
    </row>
    <row r="580" ht="16.5">
      <c r="J580" s="315"/>
    </row>
    <row r="581" ht="16.5">
      <c r="J581" s="315"/>
    </row>
    <row r="582" ht="16.5">
      <c r="J582" s="315"/>
    </row>
    <row r="583" ht="16.5">
      <c r="J583" s="315"/>
    </row>
    <row r="584" ht="16.5">
      <c r="J584" s="315"/>
    </row>
    <row r="585" ht="16.5">
      <c r="J585" s="315"/>
    </row>
    <row r="586" ht="16.5">
      <c r="J586" s="315"/>
    </row>
    <row r="587" ht="16.5">
      <c r="J587" s="315"/>
    </row>
    <row r="588" ht="16.5">
      <c r="J588" s="315"/>
    </row>
    <row r="589" ht="16.5">
      <c r="J589" s="315"/>
    </row>
    <row r="590" ht="16.5">
      <c r="J590" s="315"/>
    </row>
    <row r="591" ht="16.5">
      <c r="J591" s="315"/>
    </row>
    <row r="592" ht="16.5">
      <c r="J592" s="315"/>
    </row>
    <row r="593" ht="16.5">
      <c r="J593" s="315"/>
    </row>
    <row r="594" ht="16.5">
      <c r="J594" s="315"/>
    </row>
    <row r="595" ht="16.5">
      <c r="J595" s="315"/>
    </row>
    <row r="596" ht="16.5">
      <c r="J596" s="315"/>
    </row>
    <row r="597" ht="16.5">
      <c r="J597" s="315"/>
    </row>
    <row r="598" ht="16.5">
      <c r="J598" s="315"/>
    </row>
    <row r="599" ht="16.5">
      <c r="J599" s="315"/>
    </row>
    <row r="600" ht="16.5">
      <c r="J600" s="315"/>
    </row>
    <row r="601" ht="16.5">
      <c r="J601" s="315"/>
    </row>
    <row r="602" ht="16.5">
      <c r="J602" s="315"/>
    </row>
    <row r="603" ht="16.5">
      <c r="J603" s="315"/>
    </row>
    <row r="604" ht="16.5">
      <c r="J604" s="315"/>
    </row>
    <row r="605" ht="16.5">
      <c r="J605" s="315"/>
    </row>
    <row r="606" ht="16.5">
      <c r="J606" s="315"/>
    </row>
    <row r="607" ht="16.5">
      <c r="J607" s="315"/>
    </row>
    <row r="608" ht="16.5">
      <c r="J608" s="315"/>
    </row>
    <row r="609" ht="16.5">
      <c r="J609" s="315"/>
    </row>
    <row r="610" ht="16.5">
      <c r="J610" s="315"/>
    </row>
    <row r="611" ht="16.5">
      <c r="J611" s="315"/>
    </row>
    <row r="612" ht="16.5">
      <c r="J612" s="315"/>
    </row>
    <row r="613" ht="16.5">
      <c r="J613" s="315"/>
    </row>
    <row r="614" ht="16.5">
      <c r="J614" s="315"/>
    </row>
    <row r="615" ht="16.5">
      <c r="J615" s="315"/>
    </row>
    <row r="616" ht="16.5">
      <c r="J616" s="315"/>
    </row>
    <row r="617" ht="16.5">
      <c r="J617" s="315"/>
    </row>
    <row r="618" ht="16.5">
      <c r="J618" s="315"/>
    </row>
    <row r="619" ht="16.5">
      <c r="J619" s="315"/>
    </row>
    <row r="620" ht="16.5">
      <c r="J620" s="315"/>
    </row>
    <row r="621" ht="16.5">
      <c r="J621" s="315"/>
    </row>
    <row r="622" ht="16.5">
      <c r="J622" s="315"/>
    </row>
    <row r="623" ht="16.5">
      <c r="J623" s="315"/>
    </row>
    <row r="624" ht="16.5">
      <c r="J624" s="315"/>
    </row>
    <row r="625" ht="16.5">
      <c r="J625" s="315"/>
    </row>
    <row r="626" ht="16.5">
      <c r="J626" s="315"/>
    </row>
    <row r="627" ht="16.5">
      <c r="J627" s="315"/>
    </row>
    <row r="628" ht="16.5">
      <c r="J628" s="315"/>
    </row>
    <row r="629" ht="16.5">
      <c r="J629" s="315"/>
    </row>
    <row r="630" ht="16.5">
      <c r="J630" s="315"/>
    </row>
    <row r="631" ht="16.5">
      <c r="J631" s="315"/>
    </row>
    <row r="632" ht="16.5">
      <c r="J632" s="315"/>
    </row>
    <row r="633" ht="16.5">
      <c r="J633" s="315"/>
    </row>
    <row r="634" ht="16.5">
      <c r="J634" s="315"/>
    </row>
    <row r="635" ht="16.5">
      <c r="J635" s="315"/>
    </row>
    <row r="636" ht="16.5">
      <c r="J636" s="315"/>
    </row>
    <row r="637" ht="16.5">
      <c r="J637" s="315"/>
    </row>
    <row r="638" ht="16.5">
      <c r="J638" s="315"/>
    </row>
    <row r="639" ht="16.5">
      <c r="J639" s="315"/>
    </row>
    <row r="640" ht="16.5">
      <c r="J640" s="315"/>
    </row>
    <row r="641" ht="16.5">
      <c r="J641" s="315"/>
    </row>
    <row r="642" ht="16.5">
      <c r="J642" s="315"/>
    </row>
    <row r="643" ht="16.5">
      <c r="J643" s="315"/>
    </row>
    <row r="644" ht="16.5">
      <c r="J644" s="315"/>
    </row>
    <row r="645" ht="16.5">
      <c r="J645" s="315"/>
    </row>
    <row r="646" ht="16.5">
      <c r="J646" s="315"/>
    </row>
    <row r="647" ht="16.5">
      <c r="J647" s="315"/>
    </row>
    <row r="648" ht="16.5">
      <c r="J648" s="315"/>
    </row>
    <row r="649" ht="16.5">
      <c r="J649" s="315"/>
    </row>
    <row r="650" ht="16.5">
      <c r="J650" s="315"/>
    </row>
    <row r="651" ht="16.5">
      <c r="J651" s="315"/>
    </row>
    <row r="652" ht="16.5">
      <c r="J652" s="315"/>
    </row>
    <row r="653" ht="16.5">
      <c r="J653" s="315"/>
    </row>
    <row r="654" ht="16.5">
      <c r="J654" s="315"/>
    </row>
    <row r="655" ht="16.5">
      <c r="J655" s="315"/>
    </row>
    <row r="656" ht="16.5">
      <c r="J656" s="315"/>
    </row>
    <row r="657" ht="16.5">
      <c r="J657" s="315"/>
    </row>
    <row r="658" ht="16.5">
      <c r="J658" s="315"/>
    </row>
    <row r="659" ht="16.5">
      <c r="J659" s="315"/>
    </row>
    <row r="660" ht="16.5">
      <c r="J660" s="315"/>
    </row>
    <row r="661" ht="16.5">
      <c r="J661" s="315"/>
    </row>
    <row r="662" ht="16.5">
      <c r="J662" s="315"/>
    </row>
    <row r="663" ht="16.5">
      <c r="J663" s="315"/>
    </row>
    <row r="664" ht="16.5">
      <c r="J664" s="315"/>
    </row>
    <row r="665" ht="16.5">
      <c r="J665" s="315"/>
    </row>
    <row r="666" ht="16.5">
      <c r="J666" s="315"/>
    </row>
    <row r="667" ht="16.5">
      <c r="J667" s="315"/>
    </row>
    <row r="668" ht="16.5">
      <c r="J668" s="315"/>
    </row>
    <row r="669" ht="16.5">
      <c r="J669" s="315"/>
    </row>
    <row r="670" ht="16.5">
      <c r="J670" s="315"/>
    </row>
    <row r="671" ht="16.5">
      <c r="J671" s="315"/>
    </row>
    <row r="672" ht="16.5">
      <c r="J672" s="315"/>
    </row>
    <row r="673" ht="16.5">
      <c r="J673" s="315"/>
    </row>
    <row r="674" ht="16.5">
      <c r="J674" s="315"/>
    </row>
    <row r="675" ht="16.5">
      <c r="J675" s="315"/>
    </row>
    <row r="676" ht="16.5">
      <c r="J676" s="315"/>
    </row>
    <row r="677" ht="16.5">
      <c r="J677" s="315"/>
    </row>
    <row r="678" ht="16.5">
      <c r="J678" s="315"/>
    </row>
    <row r="679" ht="16.5">
      <c r="J679" s="315"/>
    </row>
    <row r="680" ht="16.5">
      <c r="J680" s="315"/>
    </row>
    <row r="681" ht="16.5">
      <c r="J681" s="315"/>
    </row>
    <row r="682" ht="16.5">
      <c r="J682" s="315"/>
    </row>
    <row r="683" ht="16.5">
      <c r="J683" s="315"/>
    </row>
    <row r="684" ht="16.5">
      <c r="J684" s="315"/>
    </row>
    <row r="685" ht="16.5">
      <c r="J685" s="315"/>
    </row>
    <row r="686" ht="16.5">
      <c r="J686" s="315"/>
    </row>
    <row r="687" ht="16.5">
      <c r="J687" s="315"/>
    </row>
    <row r="688" ht="16.5">
      <c r="J688" s="315"/>
    </row>
    <row r="689" ht="16.5">
      <c r="J689" s="315"/>
    </row>
    <row r="690" ht="16.5">
      <c r="J690" s="315"/>
    </row>
    <row r="691" ht="16.5">
      <c r="J691" s="315"/>
    </row>
    <row r="692" ht="16.5">
      <c r="J692" s="315"/>
    </row>
    <row r="693" ht="16.5">
      <c r="J693" s="315"/>
    </row>
    <row r="694" ht="16.5">
      <c r="J694" s="315"/>
    </row>
    <row r="695" ht="16.5">
      <c r="J695" s="315"/>
    </row>
    <row r="696" ht="16.5">
      <c r="J696" s="315"/>
    </row>
    <row r="697" ht="16.5">
      <c r="J697" s="315"/>
    </row>
    <row r="698" ht="16.5">
      <c r="J698" s="315"/>
    </row>
    <row r="699" ht="16.5">
      <c r="J699" s="315"/>
    </row>
    <row r="700" ht="16.5">
      <c r="J700" s="315"/>
    </row>
    <row r="701" ht="16.5">
      <c r="J701" s="315"/>
    </row>
    <row r="702" ht="16.5">
      <c r="J702" s="315"/>
    </row>
    <row r="703" ht="16.5">
      <c r="J703" s="315"/>
    </row>
    <row r="704" ht="16.5">
      <c r="J704" s="315"/>
    </row>
    <row r="705" ht="16.5">
      <c r="J705" s="315"/>
    </row>
    <row r="706" ht="16.5">
      <c r="J706" s="315"/>
    </row>
    <row r="707" ht="16.5">
      <c r="J707" s="315"/>
    </row>
    <row r="708" ht="16.5">
      <c r="J708" s="315"/>
    </row>
    <row r="709" ht="16.5">
      <c r="J709" s="315"/>
    </row>
    <row r="710" ht="16.5">
      <c r="J710" s="315"/>
    </row>
    <row r="711" ht="16.5">
      <c r="J711" s="315"/>
    </row>
    <row r="712" ht="16.5">
      <c r="J712" s="315"/>
    </row>
    <row r="713" ht="16.5">
      <c r="J713" s="315"/>
    </row>
    <row r="714" ht="16.5">
      <c r="J714" s="315"/>
    </row>
    <row r="715" ht="16.5">
      <c r="J715" s="315"/>
    </row>
    <row r="716" ht="16.5">
      <c r="J716" s="315"/>
    </row>
    <row r="717" ht="16.5">
      <c r="J717" s="315"/>
    </row>
    <row r="718" ht="16.5">
      <c r="J718" s="315"/>
    </row>
    <row r="719" ht="16.5">
      <c r="J719" s="315"/>
    </row>
    <row r="720" ht="16.5">
      <c r="J720" s="315"/>
    </row>
    <row r="721" ht="16.5">
      <c r="J721" s="315"/>
    </row>
    <row r="722" ht="16.5">
      <c r="J722" s="315"/>
    </row>
    <row r="723" ht="16.5">
      <c r="J723" s="315"/>
    </row>
    <row r="724" ht="16.5">
      <c r="J724" s="315"/>
    </row>
    <row r="725" ht="16.5">
      <c r="J725" s="315"/>
    </row>
    <row r="726" ht="16.5">
      <c r="J726" s="315"/>
    </row>
    <row r="727" ht="16.5">
      <c r="J727" s="315"/>
    </row>
    <row r="728" ht="16.5">
      <c r="J728" s="315"/>
    </row>
    <row r="729" ht="16.5">
      <c r="J729" s="315"/>
    </row>
    <row r="730" ht="16.5">
      <c r="J730" s="315"/>
    </row>
    <row r="731" ht="16.5">
      <c r="J731" s="315"/>
    </row>
    <row r="732" ht="16.5">
      <c r="J732" s="315"/>
    </row>
    <row r="733" ht="16.5">
      <c r="J733" s="315"/>
    </row>
    <row r="734" ht="16.5">
      <c r="J734" s="315"/>
    </row>
    <row r="735" ht="16.5">
      <c r="J735" s="315"/>
    </row>
    <row r="736" ht="16.5">
      <c r="J736" s="315"/>
    </row>
    <row r="737" ht="16.5">
      <c r="J737" s="315"/>
    </row>
  </sheetData>
  <sheetProtection/>
  <mergeCells count="9">
    <mergeCell ref="F3:G3"/>
    <mergeCell ref="N4:O5"/>
    <mergeCell ref="H4:I5"/>
    <mergeCell ref="J4:K5"/>
    <mergeCell ref="L4:M5"/>
    <mergeCell ref="A4:A6"/>
    <mergeCell ref="B4:C5"/>
    <mergeCell ref="D4:E5"/>
    <mergeCell ref="F4:G5"/>
  </mergeCells>
  <printOptions horizontalCentered="1" verticalCentered="1"/>
  <pageMargins left="0.7874015748031497" right="0.7874015748031497" top="0.5905511811023623" bottom="0.5905511811023623" header="0" footer="0.31496062992125984"/>
  <pageSetup firstPageNumber="26" useFirstPageNumber="1" horizontalDpi="600" verticalDpi="600" orientation="portrait" paperSize="9" r:id="rId2"/>
  <headerFooter alignWithMargins="0">
    <oddFooter xml:space="preserve">&amp;C&amp;P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00390625" defaultRowHeight="16.5"/>
  <sheetData/>
  <sheetProtection/>
  <printOptions horizontalCentered="1" verticalCentered="1"/>
  <pageMargins left="0.7480314960629921" right="0.7480314960629921" top="0.4724409448818898" bottom="0.5905511811023623" header="0" footer="0.31496062992125984"/>
  <pageSetup firstPageNumber="28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2" sqref="A2:E2"/>
    </sheetView>
  </sheetViews>
  <sheetFormatPr defaultColWidth="8.75390625" defaultRowHeight="16.5"/>
  <cols>
    <col min="1" max="1" width="33.875" style="7" customWidth="1"/>
    <col min="2" max="3" width="15.25390625" style="199" customWidth="1"/>
    <col min="4" max="4" width="15.25390625" style="235" customWidth="1"/>
    <col min="5" max="5" width="8.125" style="8" customWidth="1"/>
    <col min="6" max="16384" width="8.75390625" style="8" customWidth="1"/>
  </cols>
  <sheetData>
    <row r="1" spans="1:5" ht="26.25" customHeight="1">
      <c r="A1" s="630" t="s">
        <v>426</v>
      </c>
      <c r="B1" s="630"/>
      <c r="C1" s="630"/>
      <c r="D1" s="631"/>
      <c r="E1" s="631"/>
    </row>
    <row r="2" spans="1:5" ht="24" customHeight="1">
      <c r="A2" s="591" t="s">
        <v>487</v>
      </c>
      <c r="B2" s="634"/>
      <c r="C2" s="634"/>
      <c r="D2" s="634"/>
      <c r="E2" s="634"/>
    </row>
    <row r="3" spans="1:5" s="557" customFormat="1" ht="24" customHeight="1">
      <c r="A3" s="556" t="s">
        <v>895</v>
      </c>
      <c r="B3" s="556"/>
      <c r="C3" s="558"/>
      <c r="D3" s="632" t="s">
        <v>473</v>
      </c>
      <c r="E3" s="633"/>
    </row>
    <row r="4" spans="1:5" ht="22.5" customHeight="1">
      <c r="A4" s="637" t="s">
        <v>204</v>
      </c>
      <c r="B4" s="639" t="s">
        <v>332</v>
      </c>
      <c r="C4" s="635" t="s">
        <v>73</v>
      </c>
      <c r="D4" s="640" t="s">
        <v>472</v>
      </c>
      <c r="E4" s="641"/>
    </row>
    <row r="5" spans="1:5" ht="22.5" customHeight="1">
      <c r="A5" s="638"/>
      <c r="B5" s="636"/>
      <c r="C5" s="636"/>
      <c r="D5" s="210" t="s">
        <v>184</v>
      </c>
      <c r="E5" s="36" t="s">
        <v>8</v>
      </c>
    </row>
    <row r="6" spans="1:5" ht="20.25" customHeight="1">
      <c r="A6" s="42" t="s">
        <v>40</v>
      </c>
      <c r="B6" s="560"/>
      <c r="C6" s="306"/>
      <c r="D6" s="317"/>
      <c r="E6" s="43" t="s">
        <v>245</v>
      </c>
    </row>
    <row r="7" spans="1:5" ht="20.25" customHeight="1">
      <c r="A7" s="39" t="s">
        <v>362</v>
      </c>
      <c r="B7" s="561">
        <f>'損益-科目 '!F36</f>
        <v>415323000</v>
      </c>
      <c r="C7" s="302">
        <f>'現金機關'!B7</f>
        <v>599454664</v>
      </c>
      <c r="D7" s="318">
        <f>C7-B7</f>
        <v>184131664</v>
      </c>
      <c r="E7" s="44">
        <f>D7/B7*100</f>
        <v>44.334569479658</v>
      </c>
    </row>
    <row r="8" spans="1:5" ht="20.25" customHeight="1">
      <c r="A8" s="39" t="s">
        <v>34</v>
      </c>
      <c r="B8" s="561">
        <f>SUM(B9:B17)</f>
        <v>-501000</v>
      </c>
      <c r="C8" s="302">
        <f>SUM(C9:C17)</f>
        <v>346899140</v>
      </c>
      <c r="D8" s="318">
        <f aca="true" t="shared" si="0" ref="D8:D38">C8-B8</f>
        <v>347400140</v>
      </c>
      <c r="E8" s="44">
        <f aca="true" t="shared" si="1" ref="E8:E38">D8/B8*100</f>
        <v>-69341.34530938123</v>
      </c>
    </row>
    <row r="9" spans="1:5" ht="20.25" customHeight="1">
      <c r="A9" s="39" t="s">
        <v>35</v>
      </c>
      <c r="B9" s="561">
        <v>81906000</v>
      </c>
      <c r="C9" s="302">
        <f>'現金機關'!B9</f>
        <v>-79206402</v>
      </c>
      <c r="D9" s="318">
        <f t="shared" si="0"/>
        <v>-161112402</v>
      </c>
      <c r="E9" s="44">
        <f t="shared" si="1"/>
        <v>-196.7040290088638</v>
      </c>
    </row>
    <row r="10" spans="1:5" ht="20.25" customHeight="1">
      <c r="A10" s="39" t="s">
        <v>36</v>
      </c>
      <c r="B10" s="561">
        <v>643421000</v>
      </c>
      <c r="C10" s="302">
        <f>'現金機關'!B10</f>
        <v>569562630</v>
      </c>
      <c r="D10" s="318">
        <f t="shared" si="0"/>
        <v>-73858370</v>
      </c>
      <c r="E10" s="44">
        <f t="shared" si="1"/>
        <v>-11.479011409326088</v>
      </c>
    </row>
    <row r="11" spans="1:5" ht="20.25" customHeight="1">
      <c r="A11" s="39" t="s">
        <v>363</v>
      </c>
      <c r="B11" s="561">
        <v>7816000</v>
      </c>
      <c r="C11" s="302">
        <f>'現金機關'!B11</f>
        <v>5840273</v>
      </c>
      <c r="D11" s="318">
        <f t="shared" si="0"/>
        <v>-1975727</v>
      </c>
      <c r="E11" s="44">
        <f t="shared" si="1"/>
        <v>-25.277981064483114</v>
      </c>
    </row>
    <row r="12" spans="1:5" ht="20.25" customHeight="1">
      <c r="A12" s="39" t="s">
        <v>395</v>
      </c>
      <c r="B12" s="561">
        <v>7464000</v>
      </c>
      <c r="C12" s="302">
        <f>'現金機關'!B12</f>
        <v>-100597320</v>
      </c>
      <c r="D12" s="318">
        <f t="shared" si="0"/>
        <v>-108061320</v>
      </c>
      <c r="E12" s="44">
        <f t="shared" si="1"/>
        <v>-1447.766881028939</v>
      </c>
    </row>
    <row r="13" spans="1:5" s="69" customFormat="1" ht="20.25" customHeight="1">
      <c r="A13" s="326" t="s">
        <v>570</v>
      </c>
      <c r="B13" s="561">
        <v>0</v>
      </c>
      <c r="C13" s="302">
        <f>'現金機關'!B13</f>
        <v>-38688</v>
      </c>
      <c r="D13" s="318">
        <f t="shared" si="0"/>
        <v>-38688</v>
      </c>
      <c r="E13" s="327">
        <v>0</v>
      </c>
    </row>
    <row r="14" spans="1:5" ht="20.25" customHeight="1">
      <c r="A14" s="39" t="s">
        <v>37</v>
      </c>
      <c r="B14" s="561">
        <v>1000000</v>
      </c>
      <c r="C14" s="302">
        <f>'現金機關'!B14</f>
        <v>4226135</v>
      </c>
      <c r="D14" s="318">
        <f t="shared" si="0"/>
        <v>3226135</v>
      </c>
      <c r="E14" s="44">
        <f t="shared" si="1"/>
        <v>322.61350000000004</v>
      </c>
    </row>
    <row r="15" spans="1:5" ht="20.25" customHeight="1">
      <c r="A15" s="39" t="s">
        <v>38</v>
      </c>
      <c r="B15" s="561">
        <v>-778988000</v>
      </c>
      <c r="C15" s="302">
        <f>'現金機關'!B15</f>
        <v>-460122418</v>
      </c>
      <c r="D15" s="318">
        <f t="shared" si="0"/>
        <v>318865582</v>
      </c>
      <c r="E15" s="44">
        <f t="shared" si="1"/>
        <v>-40.933311167822865</v>
      </c>
    </row>
    <row r="16" spans="1:5" ht="20.25" customHeight="1">
      <c r="A16" s="39" t="s">
        <v>39</v>
      </c>
      <c r="B16" s="561">
        <v>4100000</v>
      </c>
      <c r="C16" s="302">
        <f>'現金機關'!B16</f>
        <v>395733366</v>
      </c>
      <c r="D16" s="318">
        <f t="shared" si="0"/>
        <v>391633366</v>
      </c>
      <c r="E16" s="44">
        <f t="shared" si="1"/>
        <v>9552.03331707317</v>
      </c>
    </row>
    <row r="17" spans="1:5" ht="20.25" customHeight="1">
      <c r="A17" s="39" t="s">
        <v>412</v>
      </c>
      <c r="B17" s="561">
        <v>32780000</v>
      </c>
      <c r="C17" s="302">
        <f>'現金機關'!B17</f>
        <v>11501564</v>
      </c>
      <c r="D17" s="318">
        <f t="shared" si="0"/>
        <v>-21278436</v>
      </c>
      <c r="E17" s="44">
        <f t="shared" si="1"/>
        <v>-64.9128615009152</v>
      </c>
    </row>
    <row r="18" spans="1:5" ht="20.25" customHeight="1">
      <c r="A18" s="41" t="s">
        <v>41</v>
      </c>
      <c r="B18" s="562">
        <f>B7+B8</f>
        <v>414822000</v>
      </c>
      <c r="C18" s="306">
        <f>C7+C8</f>
        <v>946353804</v>
      </c>
      <c r="D18" s="319">
        <f t="shared" si="0"/>
        <v>531531804</v>
      </c>
      <c r="E18" s="45">
        <f t="shared" si="1"/>
        <v>128.1349118417056</v>
      </c>
    </row>
    <row r="19" spans="1:5" ht="20.25" customHeight="1">
      <c r="A19" s="38" t="s">
        <v>499</v>
      </c>
      <c r="B19" s="560"/>
      <c r="C19" s="302"/>
      <c r="D19" s="319"/>
      <c r="E19" s="44"/>
    </row>
    <row r="20" spans="1:5" ht="20.25" customHeight="1">
      <c r="A20" s="39" t="s">
        <v>364</v>
      </c>
      <c r="B20" s="563">
        <v>0</v>
      </c>
      <c r="C20" s="303">
        <f>'現金機關'!B20</f>
        <v>0</v>
      </c>
      <c r="D20" s="303">
        <f>'現金機關'!C20</f>
        <v>0</v>
      </c>
      <c r="E20" s="49">
        <v>0</v>
      </c>
    </row>
    <row r="21" spans="1:5" ht="20.25" customHeight="1">
      <c r="A21" s="39" t="s">
        <v>365</v>
      </c>
      <c r="B21" s="563">
        <v>0</v>
      </c>
      <c r="C21" s="303">
        <f>'現金機關'!B21</f>
        <v>0</v>
      </c>
      <c r="D21" s="303">
        <f>'現金機關'!C21</f>
        <v>0</v>
      </c>
      <c r="E21" s="49">
        <v>0</v>
      </c>
    </row>
    <row r="22" spans="1:9" ht="20.25" customHeight="1">
      <c r="A22" s="39" t="s">
        <v>45</v>
      </c>
      <c r="B22" s="564">
        <v>0</v>
      </c>
      <c r="C22" s="303">
        <f>'現金機關'!B22</f>
        <v>0</v>
      </c>
      <c r="D22" s="303">
        <f>'現金機關'!C22</f>
        <v>0</v>
      </c>
      <c r="E22" s="49">
        <v>0</v>
      </c>
      <c r="I22" s="47"/>
    </row>
    <row r="23" spans="1:5" ht="20.25" customHeight="1">
      <c r="A23" s="39" t="s">
        <v>42</v>
      </c>
      <c r="B23" s="561">
        <v>-13110000</v>
      </c>
      <c r="C23" s="302">
        <f>'現金機關'!B23</f>
        <v>7153338</v>
      </c>
      <c r="D23" s="318">
        <f t="shared" si="0"/>
        <v>20263338</v>
      </c>
      <c r="E23" s="44">
        <f t="shared" si="1"/>
        <v>-154.56398169336384</v>
      </c>
    </row>
    <row r="24" spans="1:5" ht="20.25" customHeight="1">
      <c r="A24" s="39" t="s">
        <v>366</v>
      </c>
      <c r="B24" s="563">
        <v>0</v>
      </c>
      <c r="C24" s="303">
        <f>'現金機關'!B24</f>
        <v>0</v>
      </c>
      <c r="D24" s="320">
        <f t="shared" si="0"/>
        <v>0</v>
      </c>
      <c r="E24" s="49">
        <v>0</v>
      </c>
    </row>
    <row r="25" spans="1:5" ht="20.25" customHeight="1">
      <c r="A25" s="39" t="s">
        <v>458</v>
      </c>
      <c r="B25" s="563">
        <v>0</v>
      </c>
      <c r="C25" s="303">
        <f>'現金機關'!B25</f>
        <v>0</v>
      </c>
      <c r="D25" s="320">
        <f t="shared" si="0"/>
        <v>0</v>
      </c>
      <c r="E25" s="49">
        <v>0</v>
      </c>
    </row>
    <row r="26" spans="1:5" ht="20.25" customHeight="1">
      <c r="A26" s="39" t="s">
        <v>43</v>
      </c>
      <c r="B26" s="561">
        <v>-1864883000</v>
      </c>
      <c r="C26" s="302">
        <f>'現金機關'!B26</f>
        <v>-1044613213</v>
      </c>
      <c r="D26" s="318">
        <f t="shared" si="0"/>
        <v>820269787</v>
      </c>
      <c r="E26" s="44">
        <f t="shared" si="1"/>
        <v>-43.98505359317448</v>
      </c>
    </row>
    <row r="27" spans="1:5" ht="20.25" customHeight="1">
      <c r="A27" s="41" t="s">
        <v>44</v>
      </c>
      <c r="B27" s="562">
        <f>SUM(B20:B26)</f>
        <v>-1877993000</v>
      </c>
      <c r="C27" s="306">
        <f>SUM(C20:C26)</f>
        <v>-1037459875</v>
      </c>
      <c r="D27" s="319">
        <f t="shared" si="0"/>
        <v>840533125</v>
      </c>
      <c r="E27" s="45">
        <f t="shared" si="1"/>
        <v>-44.75698924330389</v>
      </c>
    </row>
    <row r="28" spans="1:5" ht="20.25" customHeight="1">
      <c r="A28" s="38" t="s">
        <v>68</v>
      </c>
      <c r="B28" s="560"/>
      <c r="C28" s="302"/>
      <c r="D28" s="318"/>
      <c r="E28" s="44"/>
    </row>
    <row r="29" spans="1:5" ht="20.25" customHeight="1">
      <c r="A29" s="39" t="s">
        <v>196</v>
      </c>
      <c r="B29" s="564">
        <v>930243000</v>
      </c>
      <c r="C29" s="303">
        <f>'現金機關'!B29</f>
        <v>0</v>
      </c>
      <c r="D29" s="321">
        <f t="shared" si="0"/>
        <v>-930243000</v>
      </c>
      <c r="E29" s="46">
        <f>D29/B29*100</f>
        <v>-100</v>
      </c>
    </row>
    <row r="30" spans="1:5" ht="20.25" customHeight="1">
      <c r="A30" s="39" t="s">
        <v>500</v>
      </c>
      <c r="B30" s="561">
        <v>81450000</v>
      </c>
      <c r="C30" s="302">
        <f>'現金機關'!B30</f>
        <v>90044132</v>
      </c>
      <c r="D30" s="318">
        <f t="shared" si="0"/>
        <v>8594132</v>
      </c>
      <c r="E30" s="44">
        <f t="shared" si="1"/>
        <v>10.551420503376304</v>
      </c>
    </row>
    <row r="31" spans="1:5" ht="20.25" customHeight="1">
      <c r="A31" s="39" t="s">
        <v>514</v>
      </c>
      <c r="B31" s="561">
        <v>560000000</v>
      </c>
      <c r="C31" s="242">
        <f>'現金機關'!B31</f>
        <v>560000000</v>
      </c>
      <c r="D31" s="322">
        <f t="shared" si="0"/>
        <v>0</v>
      </c>
      <c r="E31" s="44">
        <f t="shared" si="1"/>
        <v>0</v>
      </c>
    </row>
    <row r="32" spans="1:5" ht="20.25" customHeight="1">
      <c r="A32" s="39" t="s">
        <v>367</v>
      </c>
      <c r="B32" s="561">
        <v>-69650000</v>
      </c>
      <c r="C32" s="302">
        <f>'現金機關'!B32</f>
        <v>-2185176</v>
      </c>
      <c r="D32" s="318">
        <f t="shared" si="0"/>
        <v>67464824</v>
      </c>
      <c r="E32" s="44">
        <f t="shared" si="1"/>
        <v>-96.86263316582915</v>
      </c>
    </row>
    <row r="33" spans="1:5" ht="20.25" customHeight="1">
      <c r="A33" s="39" t="s">
        <v>368</v>
      </c>
      <c r="B33" s="561">
        <v>-450018000</v>
      </c>
      <c r="C33" s="243">
        <f>'現金機關'!B33</f>
        <v>0</v>
      </c>
      <c r="D33" s="323">
        <f t="shared" si="0"/>
        <v>450018000</v>
      </c>
      <c r="E33" s="44">
        <f t="shared" si="1"/>
        <v>-100</v>
      </c>
    </row>
    <row r="34" spans="1:5" ht="20.25" customHeight="1">
      <c r="A34" s="41" t="s">
        <v>69</v>
      </c>
      <c r="B34" s="562">
        <f>SUM(B29:B33)</f>
        <v>1052025000</v>
      </c>
      <c r="C34" s="306">
        <f>SUM(C29:C33)</f>
        <v>647858956</v>
      </c>
      <c r="D34" s="319">
        <f t="shared" si="0"/>
        <v>-404166044</v>
      </c>
      <c r="E34" s="45">
        <f t="shared" si="1"/>
        <v>-38.41791250207932</v>
      </c>
    </row>
    <row r="35" spans="1:5" ht="20.25" customHeight="1">
      <c r="A35" s="41" t="s">
        <v>330</v>
      </c>
      <c r="B35" s="565">
        <v>0</v>
      </c>
      <c r="C35" s="306">
        <f>'現金機關'!B35</f>
        <v>-5475980</v>
      </c>
      <c r="D35" s="319">
        <f t="shared" si="0"/>
        <v>-5475980</v>
      </c>
      <c r="E35" s="50">
        <v>0</v>
      </c>
    </row>
    <row r="36" spans="1:5" ht="20.25" customHeight="1">
      <c r="A36" s="38" t="s">
        <v>46</v>
      </c>
      <c r="B36" s="562">
        <f>B18+B27+B34</f>
        <v>-411146000</v>
      </c>
      <c r="C36" s="306">
        <f>C18+C27+C34+C35</f>
        <v>551276905</v>
      </c>
      <c r="D36" s="319">
        <f t="shared" si="0"/>
        <v>962422905</v>
      </c>
      <c r="E36" s="45">
        <f t="shared" si="1"/>
        <v>-234.08300336133635</v>
      </c>
    </row>
    <row r="37" spans="1:5" ht="20.25" customHeight="1">
      <c r="A37" s="38" t="s">
        <v>227</v>
      </c>
      <c r="B37" s="562">
        <v>1493776000</v>
      </c>
      <c r="C37" s="306">
        <f>'現金機關'!B37</f>
        <v>1227245512</v>
      </c>
      <c r="D37" s="319">
        <f t="shared" si="0"/>
        <v>-266530488</v>
      </c>
      <c r="E37" s="45">
        <f t="shared" si="1"/>
        <v>-17.842734653656237</v>
      </c>
    </row>
    <row r="38" spans="1:5" ht="20.25" customHeight="1">
      <c r="A38" s="40" t="s">
        <v>228</v>
      </c>
      <c r="B38" s="566">
        <f>B36+B37</f>
        <v>1082630000</v>
      </c>
      <c r="C38" s="308">
        <f>'現金機關'!B38</f>
        <v>1778522417</v>
      </c>
      <c r="D38" s="324">
        <f t="shared" si="0"/>
        <v>695892417</v>
      </c>
      <c r="E38" s="48">
        <f t="shared" si="1"/>
        <v>64.27795433342878</v>
      </c>
    </row>
    <row r="39" spans="3:5" ht="16.5">
      <c r="C39" s="325"/>
      <c r="E39" s="35"/>
    </row>
    <row r="40" spans="3:5" ht="16.5">
      <c r="C40" s="325"/>
      <c r="E40" s="35"/>
    </row>
    <row r="41" ht="16.5">
      <c r="C41" s="325"/>
    </row>
    <row r="42" ht="16.5">
      <c r="C42" s="325"/>
    </row>
    <row r="43" ht="16.5">
      <c r="C43" s="325"/>
    </row>
    <row r="44" ht="16.5">
      <c r="C44" s="325"/>
    </row>
    <row r="45" ht="16.5">
      <c r="C45" s="325"/>
    </row>
    <row r="46" ht="16.5">
      <c r="C46" s="325"/>
    </row>
  </sheetData>
  <sheetProtection/>
  <mergeCells count="7">
    <mergeCell ref="A1:E1"/>
    <mergeCell ref="D3:E3"/>
    <mergeCell ref="A2:E2"/>
    <mergeCell ref="C4:C5"/>
    <mergeCell ref="A4:A5"/>
    <mergeCell ref="B4:B5"/>
    <mergeCell ref="D4:E4"/>
  </mergeCells>
  <printOptions horizontalCentered="1" verticalCentered="1"/>
  <pageMargins left="0.5905511811023623" right="0.5905511811023623" top="0.5905511811023623" bottom="0.5905511811023623" header="0" footer="0.31496062992125984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94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5390625" defaultRowHeight="16.5"/>
  <cols>
    <col min="1" max="1" width="26.25390625" style="235" customWidth="1"/>
    <col min="2" max="4" width="19.625" style="235" customWidth="1"/>
    <col min="5" max="8" width="21.25390625" style="235" customWidth="1"/>
    <col min="9" max="16384" width="8.75390625" style="235" customWidth="1"/>
  </cols>
  <sheetData>
    <row r="1" spans="4:6" ht="25.5" customHeight="1">
      <c r="D1" s="328" t="s">
        <v>415</v>
      </c>
      <c r="E1" s="280" t="s">
        <v>414</v>
      </c>
      <c r="F1" s="281"/>
    </row>
    <row r="2" spans="1:8" ht="25.5" customHeight="1">
      <c r="A2" s="310" t="s">
        <v>205</v>
      </c>
      <c r="B2" s="284"/>
      <c r="C2" s="284"/>
      <c r="D2" s="329" t="s">
        <v>428</v>
      </c>
      <c r="E2" s="287" t="s">
        <v>429</v>
      </c>
      <c r="F2" s="284"/>
      <c r="G2" s="284"/>
      <c r="H2" s="205" t="s">
        <v>469</v>
      </c>
    </row>
    <row r="3" spans="1:8" ht="25.5" customHeight="1">
      <c r="A3" s="290"/>
      <c r="B3" s="284"/>
      <c r="D3" s="330" t="s">
        <v>430</v>
      </c>
      <c r="E3" s="311" t="s">
        <v>557</v>
      </c>
      <c r="F3" s="295"/>
      <c r="G3" s="290"/>
      <c r="H3" s="205" t="s">
        <v>70</v>
      </c>
    </row>
    <row r="4" spans="1:8" ht="22.5" customHeight="1">
      <c r="A4" s="620" t="s">
        <v>204</v>
      </c>
      <c r="B4" s="621" t="s">
        <v>336</v>
      </c>
      <c r="C4" s="616" t="s">
        <v>207</v>
      </c>
      <c r="D4" s="616" t="s">
        <v>188</v>
      </c>
      <c r="E4" s="618" t="s">
        <v>190</v>
      </c>
      <c r="F4" s="618" t="s">
        <v>208</v>
      </c>
      <c r="G4" s="616" t="s">
        <v>198</v>
      </c>
      <c r="H4" s="618" t="s">
        <v>194</v>
      </c>
    </row>
    <row r="5" spans="1:8" ht="22.5" customHeight="1">
      <c r="A5" s="620"/>
      <c r="B5" s="623"/>
      <c r="C5" s="617"/>
      <c r="D5" s="617"/>
      <c r="E5" s="617"/>
      <c r="F5" s="617"/>
      <c r="G5" s="617"/>
      <c r="H5" s="619"/>
    </row>
    <row r="6" spans="1:8" ht="19.5" customHeight="1">
      <c r="A6" s="331" t="s">
        <v>40</v>
      </c>
      <c r="B6" s="301"/>
      <c r="C6" s="301"/>
      <c r="D6" s="301"/>
      <c r="E6" s="301"/>
      <c r="F6" s="301"/>
      <c r="G6" s="301"/>
      <c r="H6" s="301"/>
    </row>
    <row r="7" spans="1:8" ht="19.5" customHeight="1">
      <c r="A7" s="332" t="s">
        <v>362</v>
      </c>
      <c r="B7" s="302">
        <f aca="true" t="shared" si="0" ref="B7:B17">SUM(C7:H7)</f>
        <v>599454664</v>
      </c>
      <c r="C7" s="302">
        <v>751469483</v>
      </c>
      <c r="D7" s="302">
        <v>-57154788</v>
      </c>
      <c r="E7" s="302">
        <v>-4441766</v>
      </c>
      <c r="F7" s="302">
        <v>-36003816</v>
      </c>
      <c r="G7" s="302">
        <v>83210</v>
      </c>
      <c r="H7" s="302">
        <v>-54497659</v>
      </c>
    </row>
    <row r="8" spans="1:8" ht="19.5" customHeight="1">
      <c r="A8" s="332" t="s">
        <v>34</v>
      </c>
      <c r="B8" s="302">
        <f>SUM(B9:B17)</f>
        <v>346899140</v>
      </c>
      <c r="C8" s="302">
        <f>SUM(C9:C17)</f>
        <v>-19242304</v>
      </c>
      <c r="D8" s="302">
        <f>SUM(D9:D16)</f>
        <v>7253051</v>
      </c>
      <c r="E8" s="302">
        <v>11879150</v>
      </c>
      <c r="F8" s="302">
        <f>SUM(F9:F16)</f>
        <v>13096551</v>
      </c>
      <c r="G8" s="302">
        <f>SUM(G9:G16)</f>
        <v>14432369</v>
      </c>
      <c r="H8" s="302">
        <f>SUM(H9:H16)</f>
        <v>319480323</v>
      </c>
    </row>
    <row r="9" spans="1:8" ht="19.5" customHeight="1">
      <c r="A9" s="332" t="s">
        <v>35</v>
      </c>
      <c r="B9" s="302">
        <f t="shared" si="0"/>
        <v>-79206402</v>
      </c>
      <c r="C9" s="302">
        <v>-40781828</v>
      </c>
      <c r="D9" s="302">
        <v>-4844010</v>
      </c>
      <c r="E9" s="302">
        <v>5300000</v>
      </c>
      <c r="F9" s="333">
        <v>-42012854</v>
      </c>
      <c r="G9" s="302">
        <v>3132290</v>
      </c>
      <c r="H9" s="303">
        <v>0</v>
      </c>
    </row>
    <row r="10" spans="1:8" ht="19.5" customHeight="1">
      <c r="A10" s="332" t="s">
        <v>36</v>
      </c>
      <c r="B10" s="302">
        <f t="shared" si="0"/>
        <v>569562630</v>
      </c>
      <c r="C10" s="302">
        <v>392669968</v>
      </c>
      <c r="D10" s="302">
        <v>3545564</v>
      </c>
      <c r="E10" s="302">
        <v>3577257</v>
      </c>
      <c r="F10" s="333">
        <v>34544997</v>
      </c>
      <c r="G10" s="302">
        <v>7385278</v>
      </c>
      <c r="H10" s="333">
        <v>127839566</v>
      </c>
    </row>
    <row r="11" spans="1:8" ht="19.5" customHeight="1">
      <c r="A11" s="332" t="s">
        <v>363</v>
      </c>
      <c r="B11" s="302">
        <f t="shared" si="0"/>
        <v>5840273</v>
      </c>
      <c r="C11" s="302">
        <v>2786308</v>
      </c>
      <c r="D11" s="302">
        <v>3640</v>
      </c>
      <c r="E11" s="302">
        <v>7810</v>
      </c>
      <c r="F11" s="333">
        <v>574272</v>
      </c>
      <c r="G11" s="303">
        <v>0</v>
      </c>
      <c r="H11" s="333">
        <v>2468243</v>
      </c>
    </row>
    <row r="12" spans="1:8" ht="19.5" customHeight="1">
      <c r="A12" s="332" t="s">
        <v>395</v>
      </c>
      <c r="B12" s="302">
        <f t="shared" si="0"/>
        <v>-100597320</v>
      </c>
      <c r="C12" s="302">
        <v>0</v>
      </c>
      <c r="D12" s="333">
        <v>-44001</v>
      </c>
      <c r="E12" s="302">
        <v>-17307</v>
      </c>
      <c r="F12" s="333">
        <v>-23058505</v>
      </c>
      <c r="G12" s="302">
        <v>-5714280</v>
      </c>
      <c r="H12" s="333">
        <v>-71763227</v>
      </c>
    </row>
    <row r="13" spans="1:8" ht="19.5" customHeight="1">
      <c r="A13" s="332" t="s">
        <v>570</v>
      </c>
      <c r="B13" s="302">
        <f>SUM(C13:H13)</f>
        <v>-38688</v>
      </c>
      <c r="C13" s="302"/>
      <c r="D13" s="333"/>
      <c r="E13" s="302"/>
      <c r="F13" s="333"/>
      <c r="G13" s="302">
        <f>-38688</f>
        <v>-38688</v>
      </c>
      <c r="H13" s="333"/>
    </row>
    <row r="14" spans="1:8" ht="19.5" customHeight="1">
      <c r="A14" s="332" t="s">
        <v>37</v>
      </c>
      <c r="B14" s="302">
        <f t="shared" si="0"/>
        <v>4226135</v>
      </c>
      <c r="C14" s="302">
        <v>4226135</v>
      </c>
      <c r="D14" s="303">
        <v>0</v>
      </c>
      <c r="E14" s="303">
        <v>0</v>
      </c>
      <c r="F14" s="334">
        <v>0</v>
      </c>
      <c r="G14" s="303">
        <v>0</v>
      </c>
      <c r="H14" s="334">
        <v>0</v>
      </c>
    </row>
    <row r="15" spans="1:8" ht="19.5" customHeight="1">
      <c r="A15" s="332" t="s">
        <v>38</v>
      </c>
      <c r="B15" s="302">
        <f t="shared" si="0"/>
        <v>-460122418</v>
      </c>
      <c r="C15" s="333">
        <v>-567493850</v>
      </c>
      <c r="D15" s="333">
        <v>31420562</v>
      </c>
      <c r="E15" s="333">
        <v>-324207</v>
      </c>
      <c r="F15" s="333">
        <v>31415805</v>
      </c>
      <c r="G15" s="333">
        <v>4566236</v>
      </c>
      <c r="H15" s="333">
        <v>40293036</v>
      </c>
    </row>
    <row r="16" spans="1:8" ht="19.5" customHeight="1">
      <c r="A16" s="332" t="s">
        <v>39</v>
      </c>
      <c r="B16" s="302">
        <f t="shared" si="0"/>
        <v>395733366</v>
      </c>
      <c r="C16" s="333">
        <v>177849399</v>
      </c>
      <c r="D16" s="333">
        <v>-22828704</v>
      </c>
      <c r="E16" s="333">
        <v>3335597</v>
      </c>
      <c r="F16" s="333">
        <v>11632836</v>
      </c>
      <c r="G16" s="333">
        <v>5101533</v>
      </c>
      <c r="H16" s="333">
        <v>220642705</v>
      </c>
    </row>
    <row r="17" spans="1:8" ht="19.5" customHeight="1">
      <c r="A17" s="332" t="s">
        <v>412</v>
      </c>
      <c r="B17" s="302">
        <f t="shared" si="0"/>
        <v>11501564</v>
      </c>
      <c r="C17" s="333">
        <v>11501564</v>
      </c>
      <c r="D17" s="334">
        <v>0</v>
      </c>
      <c r="E17" s="334">
        <v>0</v>
      </c>
      <c r="F17" s="334">
        <v>0</v>
      </c>
      <c r="G17" s="334">
        <v>0</v>
      </c>
      <c r="H17" s="334">
        <v>0</v>
      </c>
    </row>
    <row r="18" spans="1:8" ht="19.5" customHeight="1">
      <c r="A18" s="335" t="s">
        <v>41</v>
      </c>
      <c r="B18" s="306">
        <f>B7+B8</f>
        <v>946353804</v>
      </c>
      <c r="C18" s="306">
        <f aca="true" t="shared" si="1" ref="C18:H18">C7+C8</f>
        <v>732227179</v>
      </c>
      <c r="D18" s="306">
        <f>D7+D8</f>
        <v>-49901737</v>
      </c>
      <c r="E18" s="306">
        <f t="shared" si="1"/>
        <v>7437384</v>
      </c>
      <c r="F18" s="306">
        <f t="shared" si="1"/>
        <v>-22907265</v>
      </c>
      <c r="G18" s="306">
        <f t="shared" si="1"/>
        <v>14515579</v>
      </c>
      <c r="H18" s="306">
        <f t="shared" si="1"/>
        <v>264982664</v>
      </c>
    </row>
    <row r="19" spans="1:8" ht="19.5" customHeight="1">
      <c r="A19" s="336" t="s">
        <v>1</v>
      </c>
      <c r="B19" s="302"/>
      <c r="C19" s="302"/>
      <c r="D19" s="302"/>
      <c r="E19" s="302"/>
      <c r="F19" s="302"/>
      <c r="G19" s="302"/>
      <c r="H19" s="302"/>
    </row>
    <row r="20" spans="1:8" ht="19.5" customHeight="1">
      <c r="A20" s="332" t="s">
        <v>364</v>
      </c>
      <c r="B20" s="303">
        <f>SUM(C20:H20)</f>
        <v>0</v>
      </c>
      <c r="C20" s="303">
        <v>0</v>
      </c>
      <c r="D20" s="303">
        <v>0</v>
      </c>
      <c r="E20" s="303">
        <v>0</v>
      </c>
      <c r="F20" s="303">
        <v>0</v>
      </c>
      <c r="G20" s="303">
        <v>0</v>
      </c>
      <c r="H20" s="303">
        <v>0</v>
      </c>
    </row>
    <row r="21" spans="1:8" ht="19.5" customHeight="1">
      <c r="A21" s="332" t="s">
        <v>365</v>
      </c>
      <c r="B21" s="303">
        <f aca="true" t="shared" si="2" ref="B21:B26">SUM(C21:H21)</f>
        <v>0</v>
      </c>
      <c r="C21" s="303">
        <v>0</v>
      </c>
      <c r="D21" s="303">
        <v>0</v>
      </c>
      <c r="E21" s="303">
        <v>0</v>
      </c>
      <c r="F21" s="303">
        <v>0</v>
      </c>
      <c r="G21" s="303">
        <v>0</v>
      </c>
      <c r="H21" s="303">
        <v>0</v>
      </c>
    </row>
    <row r="22" spans="1:8" ht="19.5" customHeight="1">
      <c r="A22" s="332" t="s">
        <v>45</v>
      </c>
      <c r="B22" s="303">
        <f t="shared" si="2"/>
        <v>0</v>
      </c>
      <c r="C22" s="334">
        <v>0</v>
      </c>
      <c r="D22" s="303">
        <v>0</v>
      </c>
      <c r="E22" s="303">
        <v>0</v>
      </c>
      <c r="F22" s="334">
        <v>0</v>
      </c>
      <c r="G22" s="303">
        <v>0</v>
      </c>
      <c r="H22" s="303">
        <v>0</v>
      </c>
    </row>
    <row r="23" spans="1:8" ht="19.5" customHeight="1">
      <c r="A23" s="332" t="s">
        <v>42</v>
      </c>
      <c r="B23" s="302">
        <f t="shared" si="2"/>
        <v>7153338</v>
      </c>
      <c r="C23" s="333">
        <v>11772384</v>
      </c>
      <c r="D23" s="302">
        <v>15954</v>
      </c>
      <c r="E23" s="303">
        <v>0</v>
      </c>
      <c r="F23" s="334">
        <v>0</v>
      </c>
      <c r="G23" s="302">
        <v>-960000</v>
      </c>
      <c r="H23" s="302">
        <v>-3675000</v>
      </c>
    </row>
    <row r="24" spans="1:8" ht="19.5" customHeight="1">
      <c r="A24" s="332" t="s">
        <v>366</v>
      </c>
      <c r="B24" s="242">
        <f t="shared" si="2"/>
        <v>0</v>
      </c>
      <c r="C24" s="334">
        <v>0</v>
      </c>
      <c r="D24" s="303">
        <v>0</v>
      </c>
      <c r="E24" s="303">
        <v>0</v>
      </c>
      <c r="F24" s="334">
        <v>0</v>
      </c>
      <c r="G24" s="242">
        <v>0</v>
      </c>
      <c r="H24" s="242">
        <v>0</v>
      </c>
    </row>
    <row r="25" spans="1:8" ht="19.5" customHeight="1">
      <c r="A25" s="332" t="s">
        <v>458</v>
      </c>
      <c r="B25" s="242">
        <f t="shared" si="2"/>
        <v>0</v>
      </c>
      <c r="C25" s="334">
        <v>0</v>
      </c>
      <c r="D25" s="303">
        <v>0</v>
      </c>
      <c r="E25" s="303">
        <v>0</v>
      </c>
      <c r="F25" s="334">
        <v>0</v>
      </c>
      <c r="G25" s="242">
        <v>0</v>
      </c>
      <c r="H25" s="242">
        <v>0</v>
      </c>
    </row>
    <row r="26" spans="1:8" ht="19.5" customHeight="1">
      <c r="A26" s="332" t="s">
        <v>43</v>
      </c>
      <c r="B26" s="302">
        <f t="shared" si="2"/>
        <v>-1044613213</v>
      </c>
      <c r="C26" s="333">
        <v>-635585749</v>
      </c>
      <c r="D26" s="302">
        <v>-33168098</v>
      </c>
      <c r="E26" s="302">
        <v>-937943</v>
      </c>
      <c r="F26" s="333">
        <v>-53500421</v>
      </c>
      <c r="G26" s="302">
        <v>-1285865</v>
      </c>
      <c r="H26" s="302">
        <v>-320135137</v>
      </c>
    </row>
    <row r="27" spans="1:8" ht="19.5" customHeight="1">
      <c r="A27" s="335" t="s">
        <v>44</v>
      </c>
      <c r="B27" s="306">
        <f>SUM(B20:B26)</f>
        <v>-1037459875</v>
      </c>
      <c r="C27" s="337">
        <f aca="true" t="shared" si="3" ref="C27:H27">SUM(C20:C26)</f>
        <v>-623813365</v>
      </c>
      <c r="D27" s="306">
        <f>SUM(D20:D26)</f>
        <v>-33152144</v>
      </c>
      <c r="E27" s="306">
        <f t="shared" si="3"/>
        <v>-937943</v>
      </c>
      <c r="F27" s="306">
        <f t="shared" si="3"/>
        <v>-53500421</v>
      </c>
      <c r="G27" s="306">
        <f t="shared" si="3"/>
        <v>-2245865</v>
      </c>
      <c r="H27" s="306">
        <f t="shared" si="3"/>
        <v>-323810137</v>
      </c>
    </row>
    <row r="28" spans="1:8" ht="19.5" customHeight="1">
      <c r="A28" s="336" t="s">
        <v>68</v>
      </c>
      <c r="B28" s="302"/>
      <c r="C28" s="306"/>
      <c r="D28" s="306"/>
      <c r="E28" s="306"/>
      <c r="F28" s="306"/>
      <c r="G28" s="306"/>
      <c r="H28" s="306"/>
    </row>
    <row r="29" spans="1:8" ht="19.5" customHeight="1">
      <c r="A29" s="332" t="s">
        <v>196</v>
      </c>
      <c r="B29" s="303">
        <f>SUM(C29:H29)</f>
        <v>0</v>
      </c>
      <c r="C29" s="303">
        <v>0</v>
      </c>
      <c r="D29" s="303">
        <v>0</v>
      </c>
      <c r="E29" s="338">
        <v>0</v>
      </c>
      <c r="F29" s="303">
        <v>0</v>
      </c>
      <c r="G29" s="303">
        <v>0</v>
      </c>
      <c r="H29" s="303">
        <v>0</v>
      </c>
    </row>
    <row r="30" spans="1:8" ht="19.5" customHeight="1">
      <c r="A30" s="332" t="s">
        <v>5</v>
      </c>
      <c r="B30" s="302">
        <f>SUM(C30:H30)</f>
        <v>90044132</v>
      </c>
      <c r="C30" s="302">
        <v>52475070</v>
      </c>
      <c r="D30" s="302">
        <v>22351714</v>
      </c>
      <c r="E30" s="302">
        <v>-26760</v>
      </c>
      <c r="F30" s="302">
        <v>3295771</v>
      </c>
      <c r="G30" s="302">
        <v>-731209</v>
      </c>
      <c r="H30" s="333">
        <v>12679546</v>
      </c>
    </row>
    <row r="31" spans="1:8" ht="19.5" customHeight="1">
      <c r="A31" s="339" t="s">
        <v>2</v>
      </c>
      <c r="B31" s="242">
        <f>SUM(C31:H31)</f>
        <v>560000000</v>
      </c>
      <c r="C31" s="302">
        <v>500000000</v>
      </c>
      <c r="D31" s="303">
        <v>0</v>
      </c>
      <c r="E31" s="303">
        <v>0</v>
      </c>
      <c r="F31" s="242">
        <v>60000000</v>
      </c>
      <c r="G31" s="303">
        <v>0</v>
      </c>
      <c r="H31" s="242">
        <v>0</v>
      </c>
    </row>
    <row r="32" spans="1:8" ht="19.5" customHeight="1">
      <c r="A32" s="332" t="s">
        <v>367</v>
      </c>
      <c r="B32" s="302">
        <f>SUM(C32:H32)</f>
        <v>-2185176</v>
      </c>
      <c r="C32" s="303">
        <v>0</v>
      </c>
      <c r="D32" s="303">
        <v>0</v>
      </c>
      <c r="E32" s="302">
        <v>-2185176</v>
      </c>
      <c r="F32" s="303">
        <v>0</v>
      </c>
      <c r="G32" s="303">
        <v>0</v>
      </c>
      <c r="H32" s="303">
        <v>0</v>
      </c>
    </row>
    <row r="33" spans="1:8" ht="19.5" customHeight="1">
      <c r="A33" s="332" t="s">
        <v>368</v>
      </c>
      <c r="B33" s="243">
        <f>SUM(C33:H33)</f>
        <v>0</v>
      </c>
      <c r="C33" s="303">
        <v>0</v>
      </c>
      <c r="D33" s="303">
        <v>0</v>
      </c>
      <c r="E33" s="303">
        <v>0</v>
      </c>
      <c r="F33" s="303">
        <v>0</v>
      </c>
      <c r="G33" s="303">
        <v>0</v>
      </c>
      <c r="H33" s="303">
        <v>0</v>
      </c>
    </row>
    <row r="34" spans="1:8" ht="19.5" customHeight="1">
      <c r="A34" s="335" t="s">
        <v>69</v>
      </c>
      <c r="B34" s="306">
        <f>SUM(B29:B33)</f>
        <v>647858956</v>
      </c>
      <c r="C34" s="306">
        <f>SUM(C29:C33)</f>
        <v>552475070</v>
      </c>
      <c r="D34" s="306">
        <f>SUM(D29:D33)</f>
        <v>22351714</v>
      </c>
      <c r="E34" s="306">
        <f>SUM(E29:E33)</f>
        <v>-2211936</v>
      </c>
      <c r="F34" s="306">
        <f>SUM(F28:F33)</f>
        <v>63295771</v>
      </c>
      <c r="G34" s="306">
        <f>SUM(G29:G33)</f>
        <v>-731209</v>
      </c>
      <c r="H34" s="306">
        <f>SUM(H29:H33)</f>
        <v>12679546</v>
      </c>
    </row>
    <row r="35" spans="1:8" ht="19.5" customHeight="1">
      <c r="A35" s="335" t="s">
        <v>329</v>
      </c>
      <c r="B35" s="306">
        <f>SUM(C35:H35)</f>
        <v>-5475980</v>
      </c>
      <c r="C35" s="306">
        <v>-5475980</v>
      </c>
      <c r="D35" s="340">
        <v>0</v>
      </c>
      <c r="E35" s="340">
        <v>0</v>
      </c>
      <c r="F35" s="340">
        <v>0</v>
      </c>
      <c r="G35" s="340">
        <v>0</v>
      </c>
      <c r="H35" s="340">
        <v>0</v>
      </c>
    </row>
    <row r="36" spans="1:8" ht="19.5" customHeight="1">
      <c r="A36" s="335" t="s">
        <v>46</v>
      </c>
      <c r="B36" s="306">
        <f>SUM(C36:H36)</f>
        <v>551276905</v>
      </c>
      <c r="C36" s="306">
        <f>C18+C27+C34+C35</f>
        <v>655412904</v>
      </c>
      <c r="D36" s="306">
        <f>D18+D27+D34</f>
        <v>-60702167</v>
      </c>
      <c r="E36" s="306">
        <f>E18+E27+E34</f>
        <v>4287505</v>
      </c>
      <c r="F36" s="306">
        <f>F18+F27+F34</f>
        <v>-13111915</v>
      </c>
      <c r="G36" s="306">
        <f>G18+G27+G34</f>
        <v>11538505</v>
      </c>
      <c r="H36" s="306">
        <f>H18+H27+H34</f>
        <v>-46147927</v>
      </c>
    </row>
    <row r="37" spans="1:8" ht="19.5" customHeight="1">
      <c r="A37" s="336" t="s">
        <v>3</v>
      </c>
      <c r="B37" s="306">
        <f>SUM(C37:H37)</f>
        <v>1227245512</v>
      </c>
      <c r="C37" s="306">
        <v>425568617</v>
      </c>
      <c r="D37" s="306">
        <v>231856351</v>
      </c>
      <c r="E37" s="306">
        <v>133531664</v>
      </c>
      <c r="F37" s="306">
        <v>107390873</v>
      </c>
      <c r="G37" s="306">
        <v>68579788</v>
      </c>
      <c r="H37" s="306">
        <v>260318219</v>
      </c>
    </row>
    <row r="38" spans="1:8" ht="19.5" customHeight="1">
      <c r="A38" s="341" t="s">
        <v>4</v>
      </c>
      <c r="B38" s="308">
        <f>B36+B37</f>
        <v>1778522417</v>
      </c>
      <c r="C38" s="308">
        <f aca="true" t="shared" si="4" ref="C38:H38">C36+C37</f>
        <v>1080981521</v>
      </c>
      <c r="D38" s="308">
        <f>D36+D37</f>
        <v>171154184</v>
      </c>
      <c r="E38" s="308">
        <f t="shared" si="4"/>
        <v>137819169</v>
      </c>
      <c r="F38" s="308">
        <f t="shared" si="4"/>
        <v>94278958</v>
      </c>
      <c r="G38" s="308">
        <f t="shared" si="4"/>
        <v>80118293</v>
      </c>
      <c r="H38" s="308">
        <f t="shared" si="4"/>
        <v>214170292</v>
      </c>
    </row>
    <row r="39" spans="3:8" ht="16.5">
      <c r="C39" s="315"/>
      <c r="D39" s="315"/>
      <c r="H39" s="315"/>
    </row>
    <row r="40" spans="3:8" ht="16.5">
      <c r="C40" s="315"/>
      <c r="D40" s="315"/>
      <c r="H40" s="315"/>
    </row>
    <row r="41" spans="3:8" ht="16.5">
      <c r="C41" s="315"/>
      <c r="D41" s="315"/>
      <c r="H41" s="315"/>
    </row>
    <row r="42" spans="3:8" ht="16.5">
      <c r="C42" s="315"/>
      <c r="D42" s="315"/>
      <c r="H42" s="315"/>
    </row>
    <row r="43" spans="3:8" ht="16.5">
      <c r="C43" s="315"/>
      <c r="D43" s="315"/>
      <c r="H43" s="315"/>
    </row>
    <row r="44" spans="3:8" ht="16.5">
      <c r="C44" s="315"/>
      <c r="D44" s="315"/>
      <c r="H44" s="315"/>
    </row>
    <row r="45" spans="3:8" ht="16.5">
      <c r="C45" s="315"/>
      <c r="D45" s="315"/>
      <c r="H45" s="315"/>
    </row>
    <row r="46" spans="3:8" ht="16.5">
      <c r="C46" s="315"/>
      <c r="D46" s="315"/>
      <c r="H46" s="315"/>
    </row>
    <row r="47" spans="3:8" ht="16.5">
      <c r="C47" s="315"/>
      <c r="D47" s="315"/>
      <c r="H47" s="315"/>
    </row>
    <row r="48" spans="3:8" ht="16.5">
      <c r="C48" s="315"/>
      <c r="D48" s="315"/>
      <c r="H48" s="315"/>
    </row>
    <row r="49" spans="3:8" ht="16.5">
      <c r="C49" s="315"/>
      <c r="D49" s="315"/>
      <c r="H49" s="315"/>
    </row>
    <row r="50" spans="3:8" ht="16.5">
      <c r="C50" s="315"/>
      <c r="D50" s="315"/>
      <c r="H50" s="315"/>
    </row>
    <row r="51" spans="3:8" ht="16.5">
      <c r="C51" s="315"/>
      <c r="D51" s="315"/>
      <c r="H51" s="315"/>
    </row>
    <row r="52" spans="3:8" ht="16.5">
      <c r="C52" s="315"/>
      <c r="D52" s="315"/>
      <c r="H52" s="315"/>
    </row>
    <row r="53" spans="3:8" ht="16.5">
      <c r="C53" s="315"/>
      <c r="D53" s="315"/>
      <c r="H53" s="315"/>
    </row>
    <row r="54" spans="3:8" ht="16.5">
      <c r="C54" s="315"/>
      <c r="D54" s="315"/>
      <c r="H54" s="315"/>
    </row>
    <row r="55" spans="3:8" ht="16.5">
      <c r="C55" s="315"/>
      <c r="D55" s="315"/>
      <c r="H55" s="315"/>
    </row>
    <row r="56" spans="3:8" ht="16.5">
      <c r="C56" s="315"/>
      <c r="D56" s="315"/>
      <c r="H56" s="315"/>
    </row>
    <row r="57" spans="3:8" ht="16.5">
      <c r="C57" s="315"/>
      <c r="D57" s="315"/>
      <c r="H57" s="315"/>
    </row>
    <row r="58" spans="3:8" ht="16.5">
      <c r="C58" s="315"/>
      <c r="D58" s="315"/>
      <c r="H58" s="315"/>
    </row>
    <row r="59" spans="3:8" ht="16.5">
      <c r="C59" s="315"/>
      <c r="D59" s="315"/>
      <c r="H59" s="315"/>
    </row>
    <row r="60" spans="3:8" ht="16.5">
      <c r="C60" s="315"/>
      <c r="D60" s="315"/>
      <c r="H60" s="315"/>
    </row>
    <row r="61" spans="3:8" ht="16.5">
      <c r="C61" s="315"/>
      <c r="D61" s="315"/>
      <c r="H61" s="315"/>
    </row>
    <row r="62" spans="3:8" ht="16.5">
      <c r="C62" s="315"/>
      <c r="D62" s="315"/>
      <c r="H62" s="315"/>
    </row>
    <row r="63" spans="3:8" ht="16.5">
      <c r="C63" s="315"/>
      <c r="D63" s="315"/>
      <c r="H63" s="315"/>
    </row>
    <row r="64" spans="3:8" ht="16.5">
      <c r="C64" s="315"/>
      <c r="D64" s="315"/>
      <c r="H64" s="315"/>
    </row>
    <row r="65" spans="3:8" ht="16.5">
      <c r="C65" s="315"/>
      <c r="D65" s="315"/>
      <c r="H65" s="315"/>
    </row>
    <row r="66" spans="3:8" ht="16.5">
      <c r="C66" s="315"/>
      <c r="D66" s="315"/>
      <c r="H66" s="315"/>
    </row>
    <row r="67" spans="3:8" ht="16.5">
      <c r="C67" s="315"/>
      <c r="D67" s="315"/>
      <c r="H67" s="315"/>
    </row>
    <row r="68" spans="3:8" ht="16.5">
      <c r="C68" s="315"/>
      <c r="D68" s="315"/>
      <c r="H68" s="315"/>
    </row>
    <row r="69" spans="3:8" ht="16.5">
      <c r="C69" s="315"/>
      <c r="D69" s="315"/>
      <c r="H69" s="315"/>
    </row>
    <row r="70" spans="3:8" ht="16.5">
      <c r="C70" s="315"/>
      <c r="D70" s="315"/>
      <c r="H70" s="315"/>
    </row>
    <row r="71" spans="3:8" ht="16.5">
      <c r="C71" s="315"/>
      <c r="D71" s="315"/>
      <c r="H71" s="315"/>
    </row>
    <row r="72" spans="3:8" ht="16.5">
      <c r="C72" s="315"/>
      <c r="D72" s="315"/>
      <c r="H72" s="315"/>
    </row>
    <row r="73" spans="3:8" ht="16.5">
      <c r="C73" s="315"/>
      <c r="D73" s="315"/>
      <c r="H73" s="315"/>
    </row>
    <row r="74" spans="3:8" ht="16.5">
      <c r="C74" s="315"/>
      <c r="D74" s="315"/>
      <c r="H74" s="315"/>
    </row>
    <row r="75" spans="3:8" ht="16.5">
      <c r="C75" s="315"/>
      <c r="D75" s="315"/>
      <c r="H75" s="315"/>
    </row>
    <row r="76" spans="3:8" ht="16.5">
      <c r="C76" s="315"/>
      <c r="D76" s="315"/>
      <c r="H76" s="315"/>
    </row>
    <row r="77" spans="3:8" ht="16.5">
      <c r="C77" s="315"/>
      <c r="D77" s="315"/>
      <c r="H77" s="315"/>
    </row>
    <row r="78" spans="3:8" ht="16.5">
      <c r="C78" s="315"/>
      <c r="D78" s="315"/>
      <c r="H78" s="315"/>
    </row>
    <row r="79" spans="3:8" ht="16.5">
      <c r="C79" s="315"/>
      <c r="D79" s="315"/>
      <c r="H79" s="315"/>
    </row>
    <row r="80" spans="3:8" ht="16.5">
      <c r="C80" s="315"/>
      <c r="D80" s="315"/>
      <c r="H80" s="315"/>
    </row>
    <row r="81" spans="3:8" ht="16.5">
      <c r="C81" s="315"/>
      <c r="D81" s="315"/>
      <c r="H81" s="315"/>
    </row>
    <row r="82" spans="3:8" ht="16.5">
      <c r="C82" s="315"/>
      <c r="D82" s="315"/>
      <c r="H82" s="315"/>
    </row>
    <row r="83" spans="3:8" ht="16.5">
      <c r="C83" s="315"/>
      <c r="D83" s="315"/>
      <c r="H83" s="315"/>
    </row>
    <row r="84" spans="3:8" ht="16.5">
      <c r="C84" s="315"/>
      <c r="D84" s="315"/>
      <c r="H84" s="315"/>
    </row>
    <row r="85" spans="3:8" ht="16.5">
      <c r="C85" s="315"/>
      <c r="D85" s="315"/>
      <c r="H85" s="315"/>
    </row>
    <row r="86" spans="3:8" ht="16.5">
      <c r="C86" s="315"/>
      <c r="D86" s="315"/>
      <c r="H86" s="315"/>
    </row>
    <row r="87" spans="3:8" ht="16.5">
      <c r="C87" s="315"/>
      <c r="D87" s="315"/>
      <c r="H87" s="315"/>
    </row>
    <row r="88" spans="3:8" ht="16.5">
      <c r="C88" s="315"/>
      <c r="D88" s="315"/>
      <c r="H88" s="315"/>
    </row>
    <row r="89" spans="3:8" ht="16.5">
      <c r="C89" s="315"/>
      <c r="D89" s="315"/>
      <c r="H89" s="315"/>
    </row>
    <row r="90" spans="3:8" ht="16.5">
      <c r="C90" s="315"/>
      <c r="D90" s="315"/>
      <c r="H90" s="315"/>
    </row>
    <row r="91" spans="3:8" ht="16.5">
      <c r="C91" s="315"/>
      <c r="D91" s="315"/>
      <c r="H91" s="315"/>
    </row>
    <row r="92" spans="3:8" ht="16.5">
      <c r="C92" s="315"/>
      <c r="D92" s="315"/>
      <c r="H92" s="315"/>
    </row>
    <row r="93" spans="3:8" ht="16.5">
      <c r="C93" s="315"/>
      <c r="D93" s="315"/>
      <c r="H93" s="315"/>
    </row>
    <row r="94" spans="3:8" ht="16.5">
      <c r="C94" s="315"/>
      <c r="D94" s="315"/>
      <c r="H94" s="315"/>
    </row>
    <row r="95" spans="3:8" ht="16.5">
      <c r="C95" s="315"/>
      <c r="D95" s="315"/>
      <c r="H95" s="315"/>
    </row>
    <row r="96" spans="3:8" ht="16.5">
      <c r="C96" s="315"/>
      <c r="D96" s="315"/>
      <c r="H96" s="315"/>
    </row>
    <row r="97" spans="3:8" ht="16.5">
      <c r="C97" s="315"/>
      <c r="D97" s="315"/>
      <c r="H97" s="315"/>
    </row>
    <row r="98" spans="3:8" ht="16.5">
      <c r="C98" s="315"/>
      <c r="D98" s="315"/>
      <c r="H98" s="315"/>
    </row>
    <row r="99" spans="3:8" ht="16.5">
      <c r="C99" s="315"/>
      <c r="D99" s="315"/>
      <c r="H99" s="315"/>
    </row>
    <row r="100" spans="3:8" ht="16.5">
      <c r="C100" s="315"/>
      <c r="D100" s="315"/>
      <c r="H100" s="315"/>
    </row>
    <row r="101" spans="3:8" ht="16.5">
      <c r="C101" s="315"/>
      <c r="D101" s="315"/>
      <c r="H101" s="315"/>
    </row>
    <row r="102" spans="3:8" ht="16.5">
      <c r="C102" s="315"/>
      <c r="D102" s="315"/>
      <c r="H102" s="315"/>
    </row>
    <row r="103" spans="3:8" ht="16.5">
      <c r="C103" s="315"/>
      <c r="D103" s="315"/>
      <c r="H103" s="315"/>
    </row>
    <row r="104" spans="3:8" ht="16.5">
      <c r="C104" s="315"/>
      <c r="D104" s="315"/>
      <c r="H104" s="315"/>
    </row>
    <row r="105" spans="3:8" ht="16.5">
      <c r="C105" s="315"/>
      <c r="D105" s="315"/>
      <c r="H105" s="315"/>
    </row>
    <row r="106" spans="3:8" ht="16.5">
      <c r="C106" s="315"/>
      <c r="D106" s="315"/>
      <c r="H106" s="315"/>
    </row>
    <row r="107" spans="3:8" ht="16.5">
      <c r="C107" s="315"/>
      <c r="D107" s="315"/>
      <c r="H107" s="315"/>
    </row>
    <row r="108" spans="3:8" ht="16.5">
      <c r="C108" s="315"/>
      <c r="D108" s="315"/>
      <c r="H108" s="315"/>
    </row>
    <row r="109" spans="3:8" ht="16.5">
      <c r="C109" s="315"/>
      <c r="D109" s="315"/>
      <c r="H109" s="315"/>
    </row>
    <row r="110" spans="3:8" ht="16.5">
      <c r="C110" s="315"/>
      <c r="D110" s="315"/>
      <c r="H110" s="315"/>
    </row>
    <row r="111" spans="3:8" ht="16.5">
      <c r="C111" s="315"/>
      <c r="D111" s="315"/>
      <c r="H111" s="315"/>
    </row>
    <row r="112" spans="3:8" ht="16.5">
      <c r="C112" s="315"/>
      <c r="D112" s="315"/>
      <c r="H112" s="315"/>
    </row>
    <row r="113" spans="3:8" ht="16.5">
      <c r="C113" s="315"/>
      <c r="D113" s="315"/>
      <c r="H113" s="315"/>
    </row>
    <row r="114" spans="3:8" ht="16.5">
      <c r="C114" s="315"/>
      <c r="D114" s="315"/>
      <c r="H114" s="315"/>
    </row>
    <row r="115" spans="3:8" ht="16.5">
      <c r="C115" s="315"/>
      <c r="D115" s="315"/>
      <c r="H115" s="315"/>
    </row>
    <row r="116" spans="3:8" ht="16.5">
      <c r="C116" s="315"/>
      <c r="D116" s="315"/>
      <c r="H116" s="315"/>
    </row>
    <row r="117" spans="3:8" ht="16.5">
      <c r="C117" s="315"/>
      <c r="D117" s="315"/>
      <c r="H117" s="315"/>
    </row>
    <row r="118" spans="3:8" ht="16.5">
      <c r="C118" s="315"/>
      <c r="D118" s="315"/>
      <c r="H118" s="315"/>
    </row>
    <row r="119" spans="3:8" ht="16.5">
      <c r="C119" s="315"/>
      <c r="D119" s="315"/>
      <c r="H119" s="315"/>
    </row>
    <row r="120" spans="3:8" ht="16.5">
      <c r="C120" s="315"/>
      <c r="D120" s="315"/>
      <c r="H120" s="315"/>
    </row>
    <row r="121" spans="3:8" ht="16.5">
      <c r="C121" s="315"/>
      <c r="D121" s="315"/>
      <c r="H121" s="315"/>
    </row>
    <row r="122" spans="3:8" ht="16.5">
      <c r="C122" s="315"/>
      <c r="D122" s="315"/>
      <c r="H122" s="315"/>
    </row>
    <row r="123" spans="3:8" ht="16.5">
      <c r="C123" s="315"/>
      <c r="D123" s="315"/>
      <c r="H123" s="315"/>
    </row>
    <row r="124" spans="3:8" ht="16.5">
      <c r="C124" s="315"/>
      <c r="D124" s="315"/>
      <c r="H124" s="315"/>
    </row>
    <row r="125" spans="3:8" ht="16.5">
      <c r="C125" s="315"/>
      <c r="D125" s="315"/>
      <c r="H125" s="315"/>
    </row>
    <row r="126" spans="3:8" ht="16.5">
      <c r="C126" s="315"/>
      <c r="D126" s="315"/>
      <c r="H126" s="315"/>
    </row>
    <row r="127" spans="3:8" ht="16.5">
      <c r="C127" s="315"/>
      <c r="D127" s="315"/>
      <c r="H127" s="315"/>
    </row>
    <row r="128" spans="3:8" ht="16.5">
      <c r="C128" s="315"/>
      <c r="D128" s="315"/>
      <c r="H128" s="315"/>
    </row>
    <row r="129" spans="3:8" ht="16.5">
      <c r="C129" s="315"/>
      <c r="D129" s="315"/>
      <c r="H129" s="315"/>
    </row>
    <row r="130" spans="3:8" ht="16.5">
      <c r="C130" s="315"/>
      <c r="D130" s="315"/>
      <c r="H130" s="315"/>
    </row>
    <row r="131" spans="3:8" ht="16.5">
      <c r="C131" s="315"/>
      <c r="D131" s="315"/>
      <c r="H131" s="315"/>
    </row>
    <row r="132" spans="3:8" ht="16.5">
      <c r="C132" s="315"/>
      <c r="D132" s="315"/>
      <c r="H132" s="315"/>
    </row>
    <row r="133" spans="3:8" ht="16.5">
      <c r="C133" s="315"/>
      <c r="D133" s="315"/>
      <c r="H133" s="315"/>
    </row>
    <row r="134" spans="3:8" ht="16.5">
      <c r="C134" s="315"/>
      <c r="D134" s="315"/>
      <c r="H134" s="315"/>
    </row>
    <row r="135" spans="3:8" ht="16.5">
      <c r="C135" s="315"/>
      <c r="D135" s="315"/>
      <c r="H135" s="315"/>
    </row>
    <row r="136" spans="3:8" ht="16.5">
      <c r="C136" s="315"/>
      <c r="D136" s="315"/>
      <c r="H136" s="315"/>
    </row>
    <row r="137" spans="3:8" ht="16.5">
      <c r="C137" s="315"/>
      <c r="D137" s="315"/>
      <c r="H137" s="315"/>
    </row>
    <row r="138" spans="3:8" ht="16.5">
      <c r="C138" s="315"/>
      <c r="D138" s="315"/>
      <c r="H138" s="315"/>
    </row>
    <row r="139" spans="3:8" ht="16.5">
      <c r="C139" s="315"/>
      <c r="D139" s="315"/>
      <c r="H139" s="315"/>
    </row>
    <row r="140" spans="3:8" ht="16.5">
      <c r="C140" s="315"/>
      <c r="D140" s="315"/>
      <c r="H140" s="315"/>
    </row>
    <row r="141" spans="3:8" ht="16.5">
      <c r="C141" s="315"/>
      <c r="D141" s="315"/>
      <c r="H141" s="315"/>
    </row>
    <row r="142" spans="3:8" ht="16.5">
      <c r="C142" s="315"/>
      <c r="D142" s="315"/>
      <c r="H142" s="315"/>
    </row>
    <row r="143" spans="3:8" ht="16.5">
      <c r="C143" s="315"/>
      <c r="D143" s="315"/>
      <c r="H143" s="315"/>
    </row>
    <row r="144" spans="3:8" ht="16.5">
      <c r="C144" s="315"/>
      <c r="D144" s="315"/>
      <c r="H144" s="315"/>
    </row>
    <row r="145" spans="3:8" ht="16.5">
      <c r="C145" s="315"/>
      <c r="D145" s="315"/>
      <c r="H145" s="315"/>
    </row>
    <row r="146" spans="3:8" ht="16.5">
      <c r="C146" s="315"/>
      <c r="D146" s="315"/>
      <c r="H146" s="315"/>
    </row>
    <row r="147" spans="3:8" ht="16.5">
      <c r="C147" s="315"/>
      <c r="D147" s="315"/>
      <c r="H147" s="315"/>
    </row>
    <row r="148" spans="3:8" ht="16.5">
      <c r="C148" s="315"/>
      <c r="D148" s="315"/>
      <c r="H148" s="315"/>
    </row>
    <row r="149" spans="3:8" ht="16.5">
      <c r="C149" s="315"/>
      <c r="D149" s="315"/>
      <c r="H149" s="315"/>
    </row>
    <row r="150" spans="3:8" ht="16.5">
      <c r="C150" s="315"/>
      <c r="D150" s="315"/>
      <c r="H150" s="315"/>
    </row>
    <row r="151" spans="3:8" ht="16.5">
      <c r="C151" s="315"/>
      <c r="D151" s="315"/>
      <c r="H151" s="315"/>
    </row>
    <row r="152" spans="3:8" ht="16.5">
      <c r="C152" s="315"/>
      <c r="D152" s="315"/>
      <c r="H152" s="315"/>
    </row>
    <row r="153" spans="3:8" ht="16.5">
      <c r="C153" s="315"/>
      <c r="D153" s="315"/>
      <c r="H153" s="315"/>
    </row>
    <row r="154" spans="3:8" ht="16.5">
      <c r="C154" s="315"/>
      <c r="D154" s="315"/>
      <c r="H154" s="315"/>
    </row>
    <row r="155" spans="3:8" ht="16.5">
      <c r="C155" s="315"/>
      <c r="D155" s="315"/>
      <c r="H155" s="315"/>
    </row>
    <row r="156" spans="3:8" ht="16.5">
      <c r="C156" s="315"/>
      <c r="D156" s="315"/>
      <c r="H156" s="315"/>
    </row>
    <row r="157" spans="3:8" ht="16.5">
      <c r="C157" s="315"/>
      <c r="D157" s="315"/>
      <c r="H157" s="315"/>
    </row>
    <row r="158" spans="3:8" ht="16.5">
      <c r="C158" s="315"/>
      <c r="D158" s="315"/>
      <c r="H158" s="315"/>
    </row>
    <row r="159" spans="3:8" ht="16.5">
      <c r="C159" s="315"/>
      <c r="D159" s="315"/>
      <c r="H159" s="315"/>
    </row>
    <row r="160" spans="3:8" ht="16.5">
      <c r="C160" s="315"/>
      <c r="D160" s="315"/>
      <c r="H160" s="315"/>
    </row>
    <row r="161" spans="3:8" ht="16.5">
      <c r="C161" s="315"/>
      <c r="D161" s="315"/>
      <c r="H161" s="315"/>
    </row>
    <row r="162" spans="3:8" ht="16.5">
      <c r="C162" s="315"/>
      <c r="D162" s="315"/>
      <c r="H162" s="315"/>
    </row>
    <row r="163" spans="3:8" ht="16.5">
      <c r="C163" s="315"/>
      <c r="H163" s="315"/>
    </row>
    <row r="164" spans="3:8" ht="16.5">
      <c r="C164" s="315"/>
      <c r="H164" s="315"/>
    </row>
    <row r="165" spans="3:8" ht="16.5">
      <c r="C165" s="315"/>
      <c r="H165" s="315"/>
    </row>
    <row r="166" spans="3:8" ht="16.5">
      <c r="C166" s="315"/>
      <c r="H166" s="315"/>
    </row>
    <row r="167" spans="3:8" ht="16.5">
      <c r="C167" s="315"/>
      <c r="H167" s="315"/>
    </row>
    <row r="168" spans="3:8" ht="16.5">
      <c r="C168" s="315"/>
      <c r="H168" s="315"/>
    </row>
    <row r="169" spans="3:8" ht="16.5">
      <c r="C169" s="315"/>
      <c r="H169" s="315"/>
    </row>
    <row r="170" spans="3:8" ht="16.5">
      <c r="C170" s="315"/>
      <c r="H170" s="315"/>
    </row>
    <row r="171" spans="3:8" ht="16.5">
      <c r="C171" s="315"/>
      <c r="H171" s="315"/>
    </row>
    <row r="172" spans="3:8" ht="16.5">
      <c r="C172" s="315"/>
      <c r="H172" s="315"/>
    </row>
    <row r="173" spans="3:8" ht="16.5">
      <c r="C173" s="315"/>
      <c r="H173" s="315"/>
    </row>
    <row r="174" spans="3:8" ht="16.5">
      <c r="C174" s="315"/>
      <c r="H174" s="315"/>
    </row>
    <row r="175" spans="3:8" ht="16.5">
      <c r="C175" s="315"/>
      <c r="H175" s="315"/>
    </row>
    <row r="176" spans="3:8" ht="16.5">
      <c r="C176" s="315"/>
      <c r="H176" s="315"/>
    </row>
    <row r="177" spans="3:8" ht="16.5">
      <c r="C177" s="315"/>
      <c r="H177" s="315"/>
    </row>
    <row r="178" spans="3:8" ht="16.5">
      <c r="C178" s="315"/>
      <c r="H178" s="315"/>
    </row>
    <row r="179" spans="3:8" ht="16.5">
      <c r="C179" s="315"/>
      <c r="H179" s="315"/>
    </row>
    <row r="180" spans="3:8" ht="16.5">
      <c r="C180" s="315"/>
      <c r="H180" s="315"/>
    </row>
    <row r="181" spans="3:8" ht="16.5">
      <c r="C181" s="315"/>
      <c r="H181" s="315"/>
    </row>
    <row r="182" spans="3:8" ht="16.5">
      <c r="C182" s="315"/>
      <c r="H182" s="315"/>
    </row>
    <row r="183" spans="3:8" ht="16.5">
      <c r="C183" s="315"/>
      <c r="H183" s="315"/>
    </row>
    <row r="184" spans="3:8" ht="16.5">
      <c r="C184" s="315"/>
      <c r="H184" s="315"/>
    </row>
    <row r="185" spans="3:8" ht="16.5">
      <c r="C185" s="315"/>
      <c r="H185" s="315"/>
    </row>
    <row r="186" spans="3:8" ht="16.5">
      <c r="C186" s="315"/>
      <c r="H186" s="315"/>
    </row>
    <row r="187" spans="3:8" ht="16.5">
      <c r="C187" s="315"/>
      <c r="H187" s="315"/>
    </row>
    <row r="188" spans="3:8" ht="16.5">
      <c r="C188" s="315"/>
      <c r="H188" s="315"/>
    </row>
    <row r="189" spans="3:8" ht="16.5">
      <c r="C189" s="315"/>
      <c r="H189" s="315"/>
    </row>
    <row r="190" spans="3:8" ht="16.5">
      <c r="C190" s="315"/>
      <c r="H190" s="315"/>
    </row>
    <row r="191" spans="3:8" ht="16.5">
      <c r="C191" s="315"/>
      <c r="H191" s="315"/>
    </row>
    <row r="192" spans="3:8" ht="16.5">
      <c r="C192" s="315"/>
      <c r="H192" s="315"/>
    </row>
    <row r="193" spans="3:8" ht="16.5">
      <c r="C193" s="315"/>
      <c r="H193" s="315"/>
    </row>
    <row r="194" spans="3:8" ht="16.5">
      <c r="C194" s="315"/>
      <c r="H194" s="315"/>
    </row>
    <row r="195" spans="3:8" ht="16.5">
      <c r="C195" s="315"/>
      <c r="H195" s="315"/>
    </row>
    <row r="196" spans="3:8" ht="16.5">
      <c r="C196" s="315"/>
      <c r="H196" s="315"/>
    </row>
    <row r="197" spans="3:8" ht="16.5">
      <c r="C197" s="315"/>
      <c r="H197" s="315"/>
    </row>
    <row r="198" spans="3:8" ht="16.5">
      <c r="C198" s="315"/>
      <c r="H198" s="315"/>
    </row>
    <row r="199" spans="3:8" ht="16.5">
      <c r="C199" s="315"/>
      <c r="H199" s="315"/>
    </row>
    <row r="200" spans="3:8" ht="16.5">
      <c r="C200" s="315"/>
      <c r="H200" s="315"/>
    </row>
    <row r="201" spans="3:8" ht="16.5">
      <c r="C201" s="315"/>
      <c r="H201" s="315"/>
    </row>
    <row r="202" spans="3:8" ht="16.5">
      <c r="C202" s="315"/>
      <c r="H202" s="315"/>
    </row>
    <row r="203" spans="3:8" ht="16.5">
      <c r="C203" s="315"/>
      <c r="H203" s="315"/>
    </row>
    <row r="204" spans="3:8" ht="16.5">
      <c r="C204" s="315"/>
      <c r="H204" s="315"/>
    </row>
    <row r="205" spans="3:8" ht="16.5">
      <c r="C205" s="315"/>
      <c r="H205" s="315"/>
    </row>
    <row r="206" spans="3:8" ht="16.5">
      <c r="C206" s="315"/>
      <c r="H206" s="315"/>
    </row>
    <row r="207" spans="3:8" ht="16.5">
      <c r="C207" s="315"/>
      <c r="H207" s="315"/>
    </row>
    <row r="208" spans="3:8" ht="16.5">
      <c r="C208" s="315"/>
      <c r="H208" s="315"/>
    </row>
    <row r="209" spans="3:8" ht="16.5">
      <c r="C209" s="315"/>
      <c r="H209" s="315"/>
    </row>
    <row r="210" spans="3:8" ht="16.5">
      <c r="C210" s="315"/>
      <c r="H210" s="315"/>
    </row>
    <row r="211" spans="3:8" ht="16.5">
      <c r="C211" s="315"/>
      <c r="H211" s="315"/>
    </row>
    <row r="212" spans="3:8" ht="16.5">
      <c r="C212" s="315"/>
      <c r="H212" s="315"/>
    </row>
    <row r="213" spans="3:8" ht="16.5">
      <c r="C213" s="315"/>
      <c r="H213" s="315"/>
    </row>
    <row r="214" spans="3:8" ht="16.5">
      <c r="C214" s="315"/>
      <c r="H214" s="315"/>
    </row>
    <row r="215" spans="3:8" ht="16.5">
      <c r="C215" s="315"/>
      <c r="H215" s="315"/>
    </row>
    <row r="216" spans="3:8" ht="16.5">
      <c r="C216" s="315"/>
      <c r="H216" s="315"/>
    </row>
    <row r="217" spans="3:8" ht="16.5">
      <c r="C217" s="315"/>
      <c r="H217" s="315"/>
    </row>
    <row r="218" spans="3:8" ht="16.5">
      <c r="C218" s="315"/>
      <c r="H218" s="315"/>
    </row>
    <row r="219" spans="3:8" ht="16.5">
      <c r="C219" s="315"/>
      <c r="H219" s="315"/>
    </row>
    <row r="220" spans="3:8" ht="16.5">
      <c r="C220" s="315"/>
      <c r="H220" s="315"/>
    </row>
    <row r="221" spans="3:8" ht="16.5">
      <c r="C221" s="315"/>
      <c r="H221" s="315"/>
    </row>
    <row r="222" spans="3:8" ht="16.5">
      <c r="C222" s="315"/>
      <c r="H222" s="315"/>
    </row>
    <row r="223" spans="3:8" ht="16.5">
      <c r="C223" s="315"/>
      <c r="H223" s="315"/>
    </row>
    <row r="224" spans="3:8" ht="16.5">
      <c r="C224" s="315"/>
      <c r="H224" s="315"/>
    </row>
    <row r="225" spans="3:8" ht="16.5">
      <c r="C225" s="315"/>
      <c r="H225" s="315"/>
    </row>
    <row r="226" spans="3:8" ht="16.5">
      <c r="C226" s="315"/>
      <c r="H226" s="315"/>
    </row>
    <row r="227" spans="3:8" ht="16.5">
      <c r="C227" s="315"/>
      <c r="H227" s="315"/>
    </row>
    <row r="228" spans="3:8" ht="16.5">
      <c r="C228" s="315"/>
      <c r="H228" s="315"/>
    </row>
    <row r="229" spans="3:8" ht="16.5">
      <c r="C229" s="315"/>
      <c r="H229" s="315"/>
    </row>
    <row r="230" spans="3:8" ht="16.5">
      <c r="C230" s="315"/>
      <c r="H230" s="315"/>
    </row>
    <row r="231" spans="3:8" ht="16.5">
      <c r="C231" s="315"/>
      <c r="H231" s="315"/>
    </row>
    <row r="232" spans="3:8" ht="16.5">
      <c r="C232" s="315"/>
      <c r="H232" s="315"/>
    </row>
    <row r="233" spans="3:8" ht="16.5">
      <c r="C233" s="315"/>
      <c r="H233" s="315"/>
    </row>
    <row r="234" spans="3:8" ht="16.5">
      <c r="C234" s="315"/>
      <c r="H234" s="315"/>
    </row>
    <row r="235" spans="3:8" ht="16.5">
      <c r="C235" s="315"/>
      <c r="H235" s="315"/>
    </row>
    <row r="236" spans="3:8" ht="16.5">
      <c r="C236" s="315"/>
      <c r="H236" s="315"/>
    </row>
    <row r="237" spans="3:8" ht="16.5">
      <c r="C237" s="315"/>
      <c r="H237" s="315"/>
    </row>
    <row r="238" spans="3:8" ht="16.5">
      <c r="C238" s="315"/>
      <c r="H238" s="315"/>
    </row>
    <row r="239" spans="3:8" ht="16.5">
      <c r="C239" s="315"/>
      <c r="H239" s="315"/>
    </row>
    <row r="240" spans="3:8" ht="16.5">
      <c r="C240" s="315"/>
      <c r="H240" s="315"/>
    </row>
    <row r="241" spans="3:8" ht="16.5">
      <c r="C241" s="315"/>
      <c r="H241" s="315"/>
    </row>
    <row r="242" spans="3:8" ht="16.5">
      <c r="C242" s="315"/>
      <c r="H242" s="315"/>
    </row>
    <row r="243" spans="3:8" ht="16.5">
      <c r="C243" s="315"/>
      <c r="H243" s="315"/>
    </row>
    <row r="244" spans="3:8" ht="16.5">
      <c r="C244" s="315"/>
      <c r="H244" s="315"/>
    </row>
    <row r="245" spans="3:8" ht="16.5">
      <c r="C245" s="315"/>
      <c r="H245" s="315"/>
    </row>
    <row r="246" spans="3:8" ht="16.5">
      <c r="C246" s="315"/>
      <c r="H246" s="315"/>
    </row>
    <row r="247" spans="3:8" ht="16.5">
      <c r="C247" s="315"/>
      <c r="H247" s="315"/>
    </row>
    <row r="248" spans="3:8" ht="16.5">
      <c r="C248" s="315"/>
      <c r="H248" s="315"/>
    </row>
    <row r="249" spans="3:8" ht="16.5">
      <c r="C249" s="315"/>
      <c r="H249" s="315"/>
    </row>
    <row r="250" spans="3:8" ht="16.5">
      <c r="C250" s="315"/>
      <c r="H250" s="315"/>
    </row>
    <row r="251" spans="3:8" ht="16.5">
      <c r="C251" s="315"/>
      <c r="H251" s="315"/>
    </row>
    <row r="252" spans="3:8" ht="16.5">
      <c r="C252" s="315"/>
      <c r="H252" s="315"/>
    </row>
    <row r="253" spans="3:8" ht="16.5">
      <c r="C253" s="315"/>
      <c r="H253" s="315"/>
    </row>
    <row r="254" spans="3:8" ht="16.5">
      <c r="C254" s="315"/>
      <c r="H254" s="315"/>
    </row>
    <row r="255" spans="3:8" ht="16.5">
      <c r="C255" s="315"/>
      <c r="H255" s="315"/>
    </row>
    <row r="256" spans="3:8" ht="16.5">
      <c r="C256" s="315"/>
      <c r="H256" s="315"/>
    </row>
    <row r="257" spans="3:8" ht="16.5">
      <c r="C257" s="315"/>
      <c r="H257" s="315"/>
    </row>
    <row r="258" spans="3:8" ht="16.5">
      <c r="C258" s="315"/>
      <c r="H258" s="315"/>
    </row>
    <row r="259" spans="3:8" ht="16.5">
      <c r="C259" s="315"/>
      <c r="H259" s="315"/>
    </row>
    <row r="260" spans="3:8" ht="16.5">
      <c r="C260" s="315"/>
      <c r="H260" s="315"/>
    </row>
    <row r="261" spans="3:8" ht="16.5">
      <c r="C261" s="315"/>
      <c r="H261" s="315"/>
    </row>
    <row r="262" spans="3:8" ht="16.5">
      <c r="C262" s="315"/>
      <c r="H262" s="315"/>
    </row>
    <row r="263" spans="3:8" ht="16.5">
      <c r="C263" s="315"/>
      <c r="H263" s="315"/>
    </row>
    <row r="264" spans="3:8" ht="16.5">
      <c r="C264" s="315"/>
      <c r="H264" s="315"/>
    </row>
    <row r="265" spans="3:8" ht="16.5">
      <c r="C265" s="315"/>
      <c r="H265" s="315"/>
    </row>
    <row r="266" spans="3:8" ht="16.5">
      <c r="C266" s="315"/>
      <c r="H266" s="315"/>
    </row>
    <row r="267" spans="3:8" ht="16.5">
      <c r="C267" s="315"/>
      <c r="H267" s="315"/>
    </row>
    <row r="268" spans="3:8" ht="16.5">
      <c r="C268" s="315"/>
      <c r="H268" s="315"/>
    </row>
    <row r="269" spans="3:8" ht="16.5">
      <c r="C269" s="315"/>
      <c r="H269" s="315"/>
    </row>
    <row r="270" spans="3:8" ht="16.5">
      <c r="C270" s="315"/>
      <c r="H270" s="315"/>
    </row>
    <row r="271" spans="3:8" ht="16.5">
      <c r="C271" s="315"/>
      <c r="H271" s="315"/>
    </row>
    <row r="272" spans="3:8" ht="16.5">
      <c r="C272" s="315"/>
      <c r="H272" s="315"/>
    </row>
    <row r="273" spans="3:8" ht="16.5">
      <c r="C273" s="315"/>
      <c r="H273" s="315"/>
    </row>
    <row r="274" spans="3:8" ht="16.5">
      <c r="C274" s="315"/>
      <c r="H274" s="315"/>
    </row>
    <row r="275" spans="3:8" ht="16.5">
      <c r="C275" s="315"/>
      <c r="H275" s="315"/>
    </row>
    <row r="276" spans="3:8" ht="16.5">
      <c r="C276" s="315"/>
      <c r="H276" s="315"/>
    </row>
    <row r="277" spans="3:8" ht="16.5">
      <c r="C277" s="315"/>
      <c r="H277" s="315"/>
    </row>
    <row r="278" spans="3:8" ht="16.5">
      <c r="C278" s="315"/>
      <c r="H278" s="315"/>
    </row>
    <row r="279" spans="3:8" ht="16.5">
      <c r="C279" s="315"/>
      <c r="H279" s="315"/>
    </row>
    <row r="280" spans="3:8" ht="16.5">
      <c r="C280" s="315"/>
      <c r="H280" s="315"/>
    </row>
    <row r="281" spans="3:8" ht="16.5">
      <c r="C281" s="315"/>
      <c r="H281" s="315"/>
    </row>
    <row r="282" spans="3:8" ht="16.5">
      <c r="C282" s="315"/>
      <c r="H282" s="315"/>
    </row>
    <row r="283" spans="3:8" ht="16.5">
      <c r="C283" s="315"/>
      <c r="H283" s="315"/>
    </row>
    <row r="284" spans="3:8" ht="16.5">
      <c r="C284" s="315"/>
      <c r="H284" s="315"/>
    </row>
    <row r="285" spans="3:8" ht="16.5">
      <c r="C285" s="315"/>
      <c r="H285" s="315"/>
    </row>
    <row r="286" spans="3:8" ht="16.5">
      <c r="C286" s="315"/>
      <c r="H286" s="315"/>
    </row>
    <row r="287" spans="3:8" ht="16.5">
      <c r="C287" s="315"/>
      <c r="H287" s="315"/>
    </row>
    <row r="288" spans="3:8" ht="16.5">
      <c r="C288" s="315"/>
      <c r="H288" s="315"/>
    </row>
    <row r="289" spans="3:8" ht="16.5">
      <c r="C289" s="315"/>
      <c r="H289" s="315"/>
    </row>
    <row r="290" spans="3:8" ht="16.5">
      <c r="C290" s="315"/>
      <c r="H290" s="315"/>
    </row>
    <row r="291" spans="3:8" ht="16.5">
      <c r="C291" s="315"/>
      <c r="H291" s="315"/>
    </row>
    <row r="292" spans="3:8" ht="16.5">
      <c r="C292" s="315"/>
      <c r="H292" s="315"/>
    </row>
    <row r="293" spans="3:8" ht="16.5">
      <c r="C293" s="315"/>
      <c r="H293" s="315"/>
    </row>
    <row r="294" spans="3:8" ht="16.5">
      <c r="C294" s="315"/>
      <c r="H294" s="315"/>
    </row>
    <row r="295" spans="3:8" ht="16.5">
      <c r="C295" s="315"/>
      <c r="H295" s="315"/>
    </row>
    <row r="296" spans="3:8" ht="16.5">
      <c r="C296" s="315"/>
      <c r="H296" s="315"/>
    </row>
    <row r="297" spans="3:8" ht="16.5">
      <c r="C297" s="315"/>
      <c r="H297" s="315"/>
    </row>
    <row r="298" spans="3:8" ht="16.5">
      <c r="C298" s="315"/>
      <c r="H298" s="315"/>
    </row>
    <row r="299" spans="3:8" ht="16.5">
      <c r="C299" s="315"/>
      <c r="H299" s="315"/>
    </row>
    <row r="300" spans="3:8" ht="16.5">
      <c r="C300" s="315"/>
      <c r="H300" s="315"/>
    </row>
    <row r="301" spans="3:8" ht="16.5">
      <c r="C301" s="315"/>
      <c r="H301" s="315"/>
    </row>
    <row r="302" spans="3:8" ht="16.5">
      <c r="C302" s="315"/>
      <c r="H302" s="315"/>
    </row>
    <row r="303" spans="3:8" ht="16.5">
      <c r="C303" s="315"/>
      <c r="H303" s="315"/>
    </row>
    <row r="304" spans="3:8" ht="16.5">
      <c r="C304" s="315"/>
      <c r="H304" s="315"/>
    </row>
    <row r="305" spans="3:8" ht="16.5">
      <c r="C305" s="315"/>
      <c r="H305" s="315"/>
    </row>
    <row r="306" spans="3:8" ht="16.5">
      <c r="C306" s="315"/>
      <c r="H306" s="315"/>
    </row>
    <row r="307" spans="3:8" ht="16.5">
      <c r="C307" s="315"/>
      <c r="H307" s="315"/>
    </row>
    <row r="308" spans="3:8" ht="16.5">
      <c r="C308" s="315"/>
      <c r="H308" s="315"/>
    </row>
    <row r="309" spans="3:8" ht="16.5">
      <c r="C309" s="315"/>
      <c r="H309" s="315"/>
    </row>
    <row r="310" spans="3:8" ht="16.5">
      <c r="C310" s="315"/>
      <c r="H310" s="315"/>
    </row>
    <row r="311" spans="3:8" ht="16.5">
      <c r="C311" s="315"/>
      <c r="H311" s="315"/>
    </row>
    <row r="312" spans="3:8" ht="16.5">
      <c r="C312" s="315"/>
      <c r="H312" s="315"/>
    </row>
    <row r="313" spans="3:8" ht="16.5">
      <c r="C313" s="315"/>
      <c r="H313" s="315"/>
    </row>
    <row r="314" spans="3:8" ht="16.5">
      <c r="C314" s="315"/>
      <c r="H314" s="315"/>
    </row>
    <row r="315" spans="3:8" ht="16.5">
      <c r="C315" s="315"/>
      <c r="H315" s="315"/>
    </row>
    <row r="316" spans="3:8" ht="16.5">
      <c r="C316" s="315"/>
      <c r="H316" s="315"/>
    </row>
    <row r="317" spans="3:8" ht="16.5">
      <c r="C317" s="315"/>
      <c r="H317" s="315"/>
    </row>
    <row r="318" spans="3:8" ht="16.5">
      <c r="C318" s="315"/>
      <c r="H318" s="315"/>
    </row>
    <row r="319" spans="3:8" ht="16.5">
      <c r="C319" s="315"/>
      <c r="H319" s="315"/>
    </row>
    <row r="320" spans="3:8" ht="16.5">
      <c r="C320" s="315"/>
      <c r="H320" s="315"/>
    </row>
    <row r="321" spans="3:8" ht="16.5">
      <c r="C321" s="315"/>
      <c r="H321" s="315"/>
    </row>
    <row r="322" spans="3:8" ht="16.5">
      <c r="C322" s="315"/>
      <c r="H322" s="315"/>
    </row>
    <row r="323" spans="3:8" ht="16.5">
      <c r="C323" s="315"/>
      <c r="H323" s="315"/>
    </row>
    <row r="324" spans="3:8" ht="16.5">
      <c r="C324" s="315"/>
      <c r="H324" s="315"/>
    </row>
    <row r="325" spans="3:8" ht="16.5">
      <c r="C325" s="315"/>
      <c r="H325" s="315"/>
    </row>
    <row r="326" spans="3:8" ht="16.5">
      <c r="C326" s="315"/>
      <c r="H326" s="315"/>
    </row>
    <row r="327" spans="3:8" ht="16.5">
      <c r="C327" s="315"/>
      <c r="H327" s="315"/>
    </row>
    <row r="328" spans="3:8" ht="16.5">
      <c r="C328" s="315"/>
      <c r="H328" s="315"/>
    </row>
    <row r="329" spans="3:8" ht="16.5">
      <c r="C329" s="315"/>
      <c r="H329" s="315"/>
    </row>
    <row r="330" spans="3:8" ht="16.5">
      <c r="C330" s="315"/>
      <c r="H330" s="315"/>
    </row>
    <row r="331" spans="3:8" ht="16.5">
      <c r="C331" s="315"/>
      <c r="H331" s="315"/>
    </row>
    <row r="332" spans="3:8" ht="16.5">
      <c r="C332" s="315"/>
      <c r="H332" s="315"/>
    </row>
    <row r="333" spans="3:8" ht="16.5">
      <c r="C333" s="315"/>
      <c r="H333" s="315"/>
    </row>
    <row r="334" spans="3:8" ht="16.5">
      <c r="C334" s="315"/>
      <c r="H334" s="315"/>
    </row>
    <row r="335" spans="3:8" ht="16.5">
      <c r="C335" s="315"/>
      <c r="H335" s="315"/>
    </row>
    <row r="336" spans="3:8" ht="16.5">
      <c r="C336" s="315"/>
      <c r="H336" s="315"/>
    </row>
    <row r="337" spans="3:8" ht="16.5">
      <c r="C337" s="315"/>
      <c r="H337" s="315"/>
    </row>
    <row r="338" spans="3:8" ht="16.5">
      <c r="C338" s="315"/>
      <c r="H338" s="315"/>
    </row>
    <row r="339" spans="3:8" ht="16.5">
      <c r="C339" s="315"/>
      <c r="H339" s="315"/>
    </row>
    <row r="340" spans="3:8" ht="16.5">
      <c r="C340" s="315"/>
      <c r="H340" s="315"/>
    </row>
    <row r="341" spans="3:8" ht="16.5">
      <c r="C341" s="315"/>
      <c r="H341" s="315"/>
    </row>
    <row r="342" spans="3:8" ht="16.5">
      <c r="C342" s="315"/>
      <c r="H342" s="315"/>
    </row>
    <row r="343" spans="3:8" ht="16.5">
      <c r="C343" s="315"/>
      <c r="H343" s="315"/>
    </row>
    <row r="344" spans="3:8" ht="16.5">
      <c r="C344" s="315"/>
      <c r="H344" s="315"/>
    </row>
    <row r="345" spans="3:8" ht="16.5">
      <c r="C345" s="315"/>
      <c r="H345" s="315"/>
    </row>
    <row r="346" spans="3:8" ht="16.5">
      <c r="C346" s="315"/>
      <c r="H346" s="315"/>
    </row>
    <row r="347" spans="3:8" ht="16.5">
      <c r="C347" s="315"/>
      <c r="H347" s="315"/>
    </row>
    <row r="348" spans="3:8" ht="16.5">
      <c r="C348" s="315"/>
      <c r="H348" s="315"/>
    </row>
    <row r="349" spans="3:8" ht="16.5">
      <c r="C349" s="315"/>
      <c r="H349" s="315"/>
    </row>
    <row r="350" spans="3:8" ht="16.5">
      <c r="C350" s="315"/>
      <c r="H350" s="315"/>
    </row>
    <row r="351" spans="3:8" ht="16.5">
      <c r="C351" s="315"/>
      <c r="H351" s="315"/>
    </row>
    <row r="352" spans="3:8" ht="16.5">
      <c r="C352" s="315"/>
      <c r="H352" s="315"/>
    </row>
    <row r="353" spans="3:8" ht="16.5">
      <c r="C353" s="315"/>
      <c r="H353" s="315"/>
    </row>
    <row r="354" spans="3:8" ht="16.5">
      <c r="C354" s="315"/>
      <c r="H354" s="315"/>
    </row>
    <row r="355" spans="3:8" ht="16.5">
      <c r="C355" s="315"/>
      <c r="H355" s="315"/>
    </row>
    <row r="356" spans="3:8" ht="16.5">
      <c r="C356" s="315"/>
      <c r="H356" s="315"/>
    </row>
    <row r="357" spans="3:8" ht="16.5">
      <c r="C357" s="315"/>
      <c r="H357" s="315"/>
    </row>
    <row r="358" spans="3:8" ht="16.5">
      <c r="C358" s="315"/>
      <c r="H358" s="315"/>
    </row>
    <row r="359" spans="3:8" ht="16.5">
      <c r="C359" s="315"/>
      <c r="H359" s="315"/>
    </row>
    <row r="360" spans="3:8" ht="16.5">
      <c r="C360" s="315"/>
      <c r="H360" s="315"/>
    </row>
    <row r="361" spans="3:8" ht="16.5">
      <c r="C361" s="315"/>
      <c r="H361" s="315"/>
    </row>
    <row r="362" spans="3:8" ht="16.5">
      <c r="C362" s="315"/>
      <c r="H362" s="315"/>
    </row>
    <row r="363" spans="3:8" ht="16.5">
      <c r="C363" s="315"/>
      <c r="H363" s="315"/>
    </row>
    <row r="364" spans="3:8" ht="16.5">
      <c r="C364" s="315"/>
      <c r="H364" s="315"/>
    </row>
    <row r="365" spans="3:8" ht="16.5">
      <c r="C365" s="315"/>
      <c r="H365" s="315"/>
    </row>
    <row r="366" spans="3:8" ht="16.5">
      <c r="C366" s="315"/>
      <c r="H366" s="315"/>
    </row>
    <row r="367" spans="3:8" ht="16.5">
      <c r="C367" s="315"/>
      <c r="H367" s="315"/>
    </row>
    <row r="368" spans="3:8" ht="16.5">
      <c r="C368" s="315"/>
      <c r="H368" s="315"/>
    </row>
    <row r="369" spans="3:8" ht="16.5">
      <c r="C369" s="315"/>
      <c r="H369" s="315"/>
    </row>
    <row r="370" spans="3:8" ht="16.5">
      <c r="C370" s="315"/>
      <c r="H370" s="315"/>
    </row>
    <row r="371" spans="3:8" ht="16.5">
      <c r="C371" s="315"/>
      <c r="H371" s="315"/>
    </row>
    <row r="372" spans="3:8" ht="16.5">
      <c r="C372" s="315"/>
      <c r="H372" s="315"/>
    </row>
    <row r="373" spans="3:8" ht="16.5">
      <c r="C373" s="315"/>
      <c r="H373" s="315"/>
    </row>
    <row r="374" spans="3:8" ht="16.5">
      <c r="C374" s="315"/>
      <c r="H374" s="315"/>
    </row>
    <row r="375" spans="3:8" ht="16.5">
      <c r="C375" s="315"/>
      <c r="H375" s="315"/>
    </row>
    <row r="376" spans="3:8" ht="16.5">
      <c r="C376" s="315"/>
      <c r="H376" s="315"/>
    </row>
    <row r="377" spans="3:8" ht="16.5">
      <c r="C377" s="315"/>
      <c r="H377" s="315"/>
    </row>
    <row r="378" spans="3:8" ht="16.5">
      <c r="C378" s="315"/>
      <c r="H378" s="315"/>
    </row>
    <row r="379" spans="3:8" ht="16.5">
      <c r="C379" s="315"/>
      <c r="H379" s="315"/>
    </row>
    <row r="380" spans="3:8" ht="16.5">
      <c r="C380" s="315"/>
      <c r="H380" s="315"/>
    </row>
    <row r="381" spans="3:8" ht="16.5">
      <c r="C381" s="315"/>
      <c r="H381" s="315"/>
    </row>
    <row r="382" spans="3:8" ht="16.5">
      <c r="C382" s="315"/>
      <c r="H382" s="315"/>
    </row>
    <row r="383" spans="3:8" ht="16.5">
      <c r="C383" s="315"/>
      <c r="H383" s="315"/>
    </row>
    <row r="384" spans="3:8" ht="16.5">
      <c r="C384" s="315"/>
      <c r="H384" s="315"/>
    </row>
    <row r="385" spans="3:8" ht="16.5">
      <c r="C385" s="315"/>
      <c r="H385" s="315"/>
    </row>
    <row r="386" spans="3:8" ht="16.5">
      <c r="C386" s="315"/>
      <c r="H386" s="315"/>
    </row>
    <row r="387" spans="3:8" ht="16.5">
      <c r="C387" s="315"/>
      <c r="H387" s="315"/>
    </row>
    <row r="388" spans="3:8" ht="16.5">
      <c r="C388" s="315"/>
      <c r="H388" s="315"/>
    </row>
    <row r="389" spans="3:8" ht="16.5">
      <c r="C389" s="315"/>
      <c r="H389" s="315"/>
    </row>
    <row r="390" spans="3:8" ht="16.5">
      <c r="C390" s="315"/>
      <c r="H390" s="315"/>
    </row>
    <row r="391" spans="3:8" ht="16.5">
      <c r="C391" s="315"/>
      <c r="H391" s="315"/>
    </row>
    <row r="392" spans="3:8" ht="16.5">
      <c r="C392" s="315"/>
      <c r="H392" s="315"/>
    </row>
    <row r="393" spans="3:8" ht="16.5">
      <c r="C393" s="315"/>
      <c r="H393" s="315"/>
    </row>
    <row r="394" spans="3:8" ht="16.5">
      <c r="C394" s="315"/>
      <c r="H394" s="315"/>
    </row>
    <row r="395" spans="3:8" ht="16.5">
      <c r="C395" s="315"/>
      <c r="H395" s="315"/>
    </row>
    <row r="396" spans="3:8" ht="16.5">
      <c r="C396" s="315"/>
      <c r="H396" s="315"/>
    </row>
    <row r="397" spans="3:8" ht="16.5">
      <c r="C397" s="315"/>
      <c r="H397" s="315"/>
    </row>
    <row r="398" spans="3:8" ht="16.5">
      <c r="C398" s="315"/>
      <c r="H398" s="315"/>
    </row>
    <row r="399" spans="3:8" ht="16.5">
      <c r="C399" s="315"/>
      <c r="H399" s="315"/>
    </row>
    <row r="400" spans="3:8" ht="16.5">
      <c r="C400" s="315"/>
      <c r="H400" s="315"/>
    </row>
    <row r="401" spans="3:8" ht="16.5">
      <c r="C401" s="315"/>
      <c r="H401" s="315"/>
    </row>
    <row r="402" spans="3:8" ht="16.5">
      <c r="C402" s="315"/>
      <c r="H402" s="315"/>
    </row>
    <row r="403" spans="3:8" ht="16.5">
      <c r="C403" s="315"/>
      <c r="H403" s="315"/>
    </row>
    <row r="404" spans="3:8" ht="16.5">
      <c r="C404" s="315"/>
      <c r="H404" s="315"/>
    </row>
    <row r="405" spans="3:8" ht="16.5">
      <c r="C405" s="315"/>
      <c r="H405" s="315"/>
    </row>
    <row r="406" spans="3:8" ht="16.5">
      <c r="C406" s="315"/>
      <c r="H406" s="315"/>
    </row>
    <row r="407" spans="3:8" ht="16.5">
      <c r="C407" s="315"/>
      <c r="H407" s="315"/>
    </row>
    <row r="408" spans="3:8" ht="16.5">
      <c r="C408" s="315"/>
      <c r="H408" s="315"/>
    </row>
    <row r="409" spans="3:8" ht="16.5">
      <c r="C409" s="315"/>
      <c r="H409" s="315"/>
    </row>
    <row r="410" spans="3:8" ht="16.5">
      <c r="C410" s="315"/>
      <c r="H410" s="315"/>
    </row>
    <row r="411" spans="3:8" ht="16.5">
      <c r="C411" s="315"/>
      <c r="H411" s="315"/>
    </row>
    <row r="412" spans="3:8" ht="16.5">
      <c r="C412" s="315"/>
      <c r="H412" s="315"/>
    </row>
    <row r="413" spans="3:8" ht="16.5">
      <c r="C413" s="315"/>
      <c r="H413" s="315"/>
    </row>
    <row r="414" spans="3:8" ht="16.5">
      <c r="C414" s="315"/>
      <c r="H414" s="315"/>
    </row>
    <row r="415" spans="3:8" ht="16.5">
      <c r="C415" s="315"/>
      <c r="H415" s="315"/>
    </row>
    <row r="416" spans="3:8" ht="16.5">
      <c r="C416" s="315"/>
      <c r="H416" s="315"/>
    </row>
    <row r="417" spans="3:8" ht="16.5">
      <c r="C417" s="315"/>
      <c r="H417" s="315"/>
    </row>
    <row r="418" spans="3:8" ht="16.5">
      <c r="C418" s="315"/>
      <c r="H418" s="315"/>
    </row>
    <row r="419" spans="3:8" ht="16.5">
      <c r="C419" s="315"/>
      <c r="H419" s="315"/>
    </row>
    <row r="420" spans="3:8" ht="16.5">
      <c r="C420" s="315"/>
      <c r="H420" s="315"/>
    </row>
    <row r="421" spans="3:8" ht="16.5">
      <c r="C421" s="315"/>
      <c r="H421" s="315"/>
    </row>
    <row r="422" spans="3:8" ht="16.5">
      <c r="C422" s="315"/>
      <c r="H422" s="315"/>
    </row>
    <row r="423" spans="3:8" ht="16.5">
      <c r="C423" s="315"/>
      <c r="H423" s="315"/>
    </row>
    <row r="424" spans="3:8" ht="16.5">
      <c r="C424" s="315"/>
      <c r="H424" s="315"/>
    </row>
    <row r="425" spans="3:8" ht="16.5">
      <c r="C425" s="315"/>
      <c r="H425" s="315"/>
    </row>
    <row r="426" spans="3:8" ht="16.5">
      <c r="C426" s="315"/>
      <c r="H426" s="315"/>
    </row>
    <row r="427" spans="3:8" ht="16.5">
      <c r="C427" s="315"/>
      <c r="H427" s="315"/>
    </row>
    <row r="428" spans="3:8" ht="16.5">
      <c r="C428" s="315"/>
      <c r="H428" s="315"/>
    </row>
    <row r="429" spans="3:8" ht="16.5">
      <c r="C429" s="315"/>
      <c r="H429" s="315"/>
    </row>
    <row r="430" spans="3:8" ht="16.5">
      <c r="C430" s="315"/>
      <c r="H430" s="315"/>
    </row>
    <row r="431" spans="3:8" ht="16.5">
      <c r="C431" s="315"/>
      <c r="H431" s="315"/>
    </row>
    <row r="432" spans="3:8" ht="16.5">
      <c r="C432" s="315"/>
      <c r="H432" s="315"/>
    </row>
    <row r="433" spans="3:8" ht="16.5">
      <c r="C433" s="315"/>
      <c r="H433" s="315"/>
    </row>
    <row r="434" spans="3:8" ht="16.5">
      <c r="C434" s="315"/>
      <c r="H434" s="315"/>
    </row>
    <row r="435" spans="3:8" ht="16.5">
      <c r="C435" s="315"/>
      <c r="H435" s="315"/>
    </row>
    <row r="436" spans="3:8" ht="16.5">
      <c r="C436" s="315"/>
      <c r="H436" s="315"/>
    </row>
    <row r="437" spans="3:8" ht="16.5">
      <c r="C437" s="315"/>
      <c r="H437" s="315"/>
    </row>
    <row r="438" spans="3:8" ht="16.5">
      <c r="C438" s="315"/>
      <c r="H438" s="315"/>
    </row>
    <row r="439" spans="3:8" ht="16.5">
      <c r="C439" s="315"/>
      <c r="H439" s="315"/>
    </row>
    <row r="440" spans="3:8" ht="16.5">
      <c r="C440" s="315"/>
      <c r="H440" s="315"/>
    </row>
    <row r="441" spans="3:8" ht="16.5">
      <c r="C441" s="315"/>
      <c r="H441" s="315"/>
    </row>
    <row r="442" spans="3:8" ht="16.5">
      <c r="C442" s="315"/>
      <c r="H442" s="315"/>
    </row>
    <row r="443" spans="3:8" ht="16.5">
      <c r="C443" s="315"/>
      <c r="H443" s="315"/>
    </row>
    <row r="444" spans="3:8" ht="16.5">
      <c r="C444" s="315"/>
      <c r="H444" s="315"/>
    </row>
    <row r="445" spans="3:8" ht="16.5">
      <c r="C445" s="315"/>
      <c r="H445" s="315"/>
    </row>
    <row r="446" spans="3:8" ht="16.5">
      <c r="C446" s="315"/>
      <c r="H446" s="315"/>
    </row>
    <row r="447" spans="3:8" ht="16.5">
      <c r="C447" s="315"/>
      <c r="H447" s="315"/>
    </row>
    <row r="448" spans="3:8" ht="16.5">
      <c r="C448" s="315"/>
      <c r="H448" s="315"/>
    </row>
    <row r="449" spans="3:8" ht="16.5">
      <c r="C449" s="315"/>
      <c r="H449" s="315"/>
    </row>
    <row r="450" spans="3:8" ht="16.5">
      <c r="C450" s="315"/>
      <c r="H450" s="315"/>
    </row>
    <row r="451" spans="3:8" ht="16.5">
      <c r="C451" s="315"/>
      <c r="H451" s="315"/>
    </row>
    <row r="452" spans="3:8" ht="16.5">
      <c r="C452" s="315"/>
      <c r="H452" s="315"/>
    </row>
    <row r="453" spans="3:8" ht="16.5">
      <c r="C453" s="315"/>
      <c r="H453" s="315"/>
    </row>
    <row r="454" spans="3:8" ht="16.5">
      <c r="C454" s="315"/>
      <c r="H454" s="315"/>
    </row>
    <row r="455" spans="3:8" ht="16.5">
      <c r="C455" s="315"/>
      <c r="H455" s="315"/>
    </row>
    <row r="456" spans="3:8" ht="16.5">
      <c r="C456" s="315"/>
      <c r="H456" s="315"/>
    </row>
    <row r="457" spans="3:8" ht="16.5">
      <c r="C457" s="315"/>
      <c r="H457" s="315"/>
    </row>
    <row r="458" spans="3:8" ht="16.5">
      <c r="C458" s="315"/>
      <c r="H458" s="315"/>
    </row>
    <row r="459" spans="3:8" ht="16.5">
      <c r="C459" s="315"/>
      <c r="H459" s="315"/>
    </row>
    <row r="460" spans="3:8" ht="16.5">
      <c r="C460" s="315"/>
      <c r="H460" s="315"/>
    </row>
    <row r="461" spans="3:8" ht="16.5">
      <c r="C461" s="315"/>
      <c r="H461" s="315"/>
    </row>
    <row r="462" spans="3:8" ht="16.5">
      <c r="C462" s="315"/>
      <c r="H462" s="315"/>
    </row>
    <row r="463" spans="3:8" ht="16.5">
      <c r="C463" s="315"/>
      <c r="H463" s="315"/>
    </row>
    <row r="464" spans="3:8" ht="16.5">
      <c r="C464" s="315"/>
      <c r="H464" s="315"/>
    </row>
    <row r="465" spans="3:8" ht="16.5">
      <c r="C465" s="315"/>
      <c r="H465" s="315"/>
    </row>
    <row r="466" spans="3:8" ht="16.5">
      <c r="C466" s="315"/>
      <c r="H466" s="315"/>
    </row>
    <row r="467" spans="3:8" ht="16.5">
      <c r="C467" s="315"/>
      <c r="H467" s="315"/>
    </row>
    <row r="468" spans="3:8" ht="16.5">
      <c r="C468" s="315"/>
      <c r="H468" s="315"/>
    </row>
    <row r="469" spans="3:8" ht="16.5">
      <c r="C469" s="315"/>
      <c r="H469" s="315"/>
    </row>
    <row r="470" spans="3:8" ht="16.5">
      <c r="C470" s="315"/>
      <c r="H470" s="315"/>
    </row>
    <row r="471" spans="3:8" ht="16.5">
      <c r="C471" s="315"/>
      <c r="H471" s="315"/>
    </row>
    <row r="472" spans="3:8" ht="16.5">
      <c r="C472" s="315"/>
      <c r="H472" s="315"/>
    </row>
    <row r="473" spans="3:8" ht="16.5">
      <c r="C473" s="315"/>
      <c r="H473" s="315"/>
    </row>
    <row r="474" spans="3:8" ht="16.5">
      <c r="C474" s="315"/>
      <c r="H474" s="315"/>
    </row>
    <row r="475" spans="3:8" ht="16.5">
      <c r="C475" s="315"/>
      <c r="H475" s="315"/>
    </row>
    <row r="476" spans="3:8" ht="16.5">
      <c r="C476" s="315"/>
      <c r="H476" s="315"/>
    </row>
    <row r="477" spans="3:8" ht="16.5">
      <c r="C477" s="315"/>
      <c r="H477" s="315"/>
    </row>
    <row r="478" spans="3:8" ht="16.5">
      <c r="C478" s="315"/>
      <c r="H478" s="315"/>
    </row>
    <row r="479" spans="3:8" ht="16.5">
      <c r="C479" s="315"/>
      <c r="H479" s="315"/>
    </row>
    <row r="480" spans="3:8" ht="16.5">
      <c r="C480" s="315"/>
      <c r="H480" s="315"/>
    </row>
    <row r="481" spans="3:8" ht="16.5">
      <c r="C481" s="315"/>
      <c r="H481" s="315"/>
    </row>
    <row r="482" spans="3:8" ht="16.5">
      <c r="C482" s="315"/>
      <c r="H482" s="315"/>
    </row>
    <row r="483" spans="3:8" ht="16.5">
      <c r="C483" s="315"/>
      <c r="H483" s="315"/>
    </row>
    <row r="484" spans="3:8" ht="16.5">
      <c r="C484" s="315"/>
      <c r="H484" s="315"/>
    </row>
    <row r="485" spans="3:8" ht="16.5">
      <c r="C485" s="315"/>
      <c r="H485" s="315"/>
    </row>
    <row r="486" spans="3:8" ht="16.5">
      <c r="C486" s="315"/>
      <c r="H486" s="315"/>
    </row>
    <row r="487" spans="3:8" ht="16.5">
      <c r="C487" s="315"/>
      <c r="H487" s="315"/>
    </row>
    <row r="488" spans="3:8" ht="16.5">
      <c r="C488" s="315"/>
      <c r="H488" s="315"/>
    </row>
    <row r="489" spans="3:8" ht="16.5">
      <c r="C489" s="315"/>
      <c r="H489" s="315"/>
    </row>
    <row r="490" spans="3:8" ht="16.5">
      <c r="C490" s="315"/>
      <c r="H490" s="315"/>
    </row>
    <row r="491" spans="3:8" ht="16.5">
      <c r="C491" s="315"/>
      <c r="H491" s="315"/>
    </row>
    <row r="492" spans="3:8" ht="16.5">
      <c r="C492" s="315"/>
      <c r="H492" s="315"/>
    </row>
    <row r="493" spans="3:8" ht="16.5">
      <c r="C493" s="315"/>
      <c r="H493" s="315"/>
    </row>
    <row r="494" spans="3:8" ht="16.5">
      <c r="C494" s="315"/>
      <c r="H494" s="315"/>
    </row>
    <row r="495" spans="3:8" ht="16.5">
      <c r="C495" s="315"/>
      <c r="H495" s="315"/>
    </row>
    <row r="496" spans="3:8" ht="16.5">
      <c r="C496" s="315"/>
      <c r="H496" s="315"/>
    </row>
    <row r="497" spans="3:8" ht="16.5">
      <c r="C497" s="315"/>
      <c r="H497" s="315"/>
    </row>
    <row r="498" spans="3:8" ht="16.5">
      <c r="C498" s="315"/>
      <c r="H498" s="315"/>
    </row>
    <row r="499" spans="3:8" ht="16.5">
      <c r="C499" s="315"/>
      <c r="H499" s="315"/>
    </row>
    <row r="500" spans="3:8" ht="16.5">
      <c r="C500" s="315"/>
      <c r="H500" s="315"/>
    </row>
    <row r="501" spans="3:8" ht="16.5">
      <c r="C501" s="315"/>
      <c r="H501" s="315"/>
    </row>
    <row r="502" spans="3:8" ht="16.5">
      <c r="C502" s="315"/>
      <c r="H502" s="315"/>
    </row>
    <row r="503" spans="3:8" ht="16.5">
      <c r="C503" s="315"/>
      <c r="H503" s="315"/>
    </row>
    <row r="504" spans="3:8" ht="16.5">
      <c r="C504" s="315"/>
      <c r="H504" s="315"/>
    </row>
    <row r="505" spans="3:8" ht="16.5">
      <c r="C505" s="315"/>
      <c r="H505" s="315"/>
    </row>
    <row r="506" spans="3:8" ht="16.5">
      <c r="C506" s="315"/>
      <c r="H506" s="315"/>
    </row>
    <row r="507" spans="3:8" ht="16.5">
      <c r="C507" s="315"/>
      <c r="H507" s="315"/>
    </row>
    <row r="508" spans="3:8" ht="16.5">
      <c r="C508" s="315"/>
      <c r="H508" s="315"/>
    </row>
    <row r="509" spans="3:8" ht="16.5">
      <c r="C509" s="315"/>
      <c r="H509" s="315"/>
    </row>
    <row r="510" spans="3:8" ht="16.5">
      <c r="C510" s="315"/>
      <c r="H510" s="315"/>
    </row>
    <row r="511" spans="3:8" ht="16.5">
      <c r="C511" s="315"/>
      <c r="H511" s="315"/>
    </row>
    <row r="512" spans="3:8" ht="16.5">
      <c r="C512" s="315"/>
      <c r="H512" s="315"/>
    </row>
    <row r="513" spans="3:8" ht="16.5">
      <c r="C513" s="315"/>
      <c r="H513" s="315"/>
    </row>
    <row r="514" spans="3:8" ht="16.5">
      <c r="C514" s="315"/>
      <c r="H514" s="315"/>
    </row>
    <row r="515" spans="3:8" ht="16.5">
      <c r="C515" s="315"/>
      <c r="H515" s="315"/>
    </row>
    <row r="516" spans="3:8" ht="16.5">
      <c r="C516" s="315"/>
      <c r="H516" s="315"/>
    </row>
    <row r="517" spans="3:8" ht="16.5">
      <c r="C517" s="315"/>
      <c r="H517" s="315"/>
    </row>
    <row r="518" spans="3:8" ht="16.5">
      <c r="C518" s="315"/>
      <c r="H518" s="315"/>
    </row>
    <row r="519" spans="3:8" ht="16.5">
      <c r="C519" s="315"/>
      <c r="H519" s="315"/>
    </row>
    <row r="520" spans="3:8" ht="16.5">
      <c r="C520" s="315"/>
      <c r="H520" s="315"/>
    </row>
    <row r="521" spans="3:8" ht="16.5">
      <c r="C521" s="315"/>
      <c r="H521" s="315"/>
    </row>
    <row r="522" spans="3:8" ht="16.5">
      <c r="C522" s="315"/>
      <c r="H522" s="315"/>
    </row>
    <row r="523" spans="3:8" ht="16.5">
      <c r="C523" s="315"/>
      <c r="H523" s="315"/>
    </row>
    <row r="524" spans="3:8" ht="16.5">
      <c r="C524" s="315"/>
      <c r="H524" s="315"/>
    </row>
    <row r="525" spans="3:8" ht="16.5">
      <c r="C525" s="315"/>
      <c r="H525" s="315"/>
    </row>
    <row r="526" spans="3:8" ht="16.5">
      <c r="C526" s="315"/>
      <c r="H526" s="315"/>
    </row>
    <row r="527" spans="3:8" ht="16.5">
      <c r="C527" s="315"/>
      <c r="H527" s="315"/>
    </row>
    <row r="528" spans="3:8" ht="16.5">
      <c r="C528" s="315"/>
      <c r="H528" s="315"/>
    </row>
    <row r="529" spans="3:8" ht="16.5">
      <c r="C529" s="315"/>
      <c r="H529" s="315"/>
    </row>
    <row r="530" spans="3:8" ht="16.5">
      <c r="C530" s="315"/>
      <c r="H530" s="315"/>
    </row>
    <row r="531" spans="3:8" ht="16.5">
      <c r="C531" s="315"/>
      <c r="H531" s="315"/>
    </row>
    <row r="532" spans="3:8" ht="16.5">
      <c r="C532" s="315"/>
      <c r="H532" s="315"/>
    </row>
    <row r="533" spans="3:8" ht="16.5">
      <c r="C533" s="315"/>
      <c r="H533" s="315"/>
    </row>
    <row r="534" spans="3:8" ht="16.5">
      <c r="C534" s="315"/>
      <c r="H534" s="315"/>
    </row>
    <row r="535" spans="3:8" ht="16.5">
      <c r="C535" s="315"/>
      <c r="H535" s="315"/>
    </row>
    <row r="536" spans="3:8" ht="16.5">
      <c r="C536" s="315"/>
      <c r="H536" s="315"/>
    </row>
    <row r="537" spans="3:8" ht="16.5">
      <c r="C537" s="315"/>
      <c r="H537" s="315"/>
    </row>
    <row r="538" spans="3:8" ht="16.5">
      <c r="C538" s="315"/>
      <c r="H538" s="315"/>
    </row>
    <row r="539" spans="3:8" ht="16.5">
      <c r="C539" s="315"/>
      <c r="H539" s="315"/>
    </row>
    <row r="540" spans="3:8" ht="16.5">
      <c r="C540" s="315"/>
      <c r="H540" s="315"/>
    </row>
    <row r="541" spans="3:8" ht="16.5">
      <c r="C541" s="315"/>
      <c r="H541" s="315"/>
    </row>
    <row r="542" spans="3:8" ht="16.5">
      <c r="C542" s="315"/>
      <c r="H542" s="315"/>
    </row>
    <row r="543" spans="3:8" ht="16.5">
      <c r="C543" s="315"/>
      <c r="H543" s="315"/>
    </row>
    <row r="544" spans="3:8" ht="16.5">
      <c r="C544" s="315"/>
      <c r="H544" s="315"/>
    </row>
    <row r="545" spans="3:8" ht="16.5">
      <c r="C545" s="315"/>
      <c r="H545" s="315"/>
    </row>
    <row r="546" spans="3:8" ht="16.5">
      <c r="C546" s="315"/>
      <c r="H546" s="315"/>
    </row>
    <row r="547" spans="3:8" ht="16.5">
      <c r="C547" s="315"/>
      <c r="H547" s="315"/>
    </row>
    <row r="548" spans="3:8" ht="16.5">
      <c r="C548" s="315"/>
      <c r="H548" s="315"/>
    </row>
    <row r="549" spans="3:8" ht="16.5">
      <c r="C549" s="315"/>
      <c r="H549" s="315"/>
    </row>
    <row r="550" spans="3:8" ht="16.5">
      <c r="C550" s="315"/>
      <c r="H550" s="315"/>
    </row>
    <row r="551" spans="3:8" ht="16.5">
      <c r="C551" s="315"/>
      <c r="H551" s="315"/>
    </row>
    <row r="552" spans="3:8" ht="16.5">
      <c r="C552" s="315"/>
      <c r="H552" s="315"/>
    </row>
    <row r="553" spans="3:8" ht="16.5">
      <c r="C553" s="315"/>
      <c r="H553" s="315"/>
    </row>
    <row r="554" spans="3:8" ht="16.5">
      <c r="C554" s="315"/>
      <c r="H554" s="315"/>
    </row>
    <row r="555" spans="3:8" ht="16.5">
      <c r="C555" s="315"/>
      <c r="H555" s="315"/>
    </row>
    <row r="556" spans="3:8" ht="16.5">
      <c r="C556" s="315"/>
      <c r="H556" s="315"/>
    </row>
    <row r="557" spans="3:8" ht="16.5">
      <c r="C557" s="315"/>
      <c r="H557" s="315"/>
    </row>
    <row r="558" spans="3:8" ht="16.5">
      <c r="C558" s="315"/>
      <c r="H558" s="315"/>
    </row>
    <row r="559" spans="3:8" ht="16.5">
      <c r="C559" s="315"/>
      <c r="H559" s="315"/>
    </row>
    <row r="560" spans="3:8" ht="16.5">
      <c r="C560" s="315"/>
      <c r="H560" s="315"/>
    </row>
    <row r="561" spans="3:8" ht="16.5">
      <c r="C561" s="315"/>
      <c r="H561" s="315"/>
    </row>
    <row r="562" spans="3:8" ht="16.5">
      <c r="C562" s="315"/>
      <c r="H562" s="315"/>
    </row>
    <row r="563" spans="3:8" ht="16.5">
      <c r="C563" s="315"/>
      <c r="H563" s="315"/>
    </row>
    <row r="564" spans="3:8" ht="16.5">
      <c r="C564" s="315"/>
      <c r="H564" s="315"/>
    </row>
    <row r="565" spans="3:8" ht="16.5">
      <c r="C565" s="315"/>
      <c r="H565" s="315"/>
    </row>
    <row r="566" spans="3:8" ht="16.5">
      <c r="C566" s="315"/>
      <c r="H566" s="315"/>
    </row>
    <row r="567" spans="3:8" ht="16.5">
      <c r="C567" s="315"/>
      <c r="H567" s="315"/>
    </row>
    <row r="568" spans="3:8" ht="16.5">
      <c r="C568" s="315"/>
      <c r="H568" s="315"/>
    </row>
    <row r="569" spans="3:8" ht="16.5">
      <c r="C569" s="315"/>
      <c r="H569" s="315"/>
    </row>
    <row r="570" spans="3:8" ht="16.5">
      <c r="C570" s="315"/>
      <c r="H570" s="315"/>
    </row>
    <row r="571" spans="3:8" ht="16.5">
      <c r="C571" s="315"/>
      <c r="H571" s="315"/>
    </row>
    <row r="572" spans="3:8" ht="16.5">
      <c r="C572" s="315"/>
      <c r="H572" s="315"/>
    </row>
    <row r="573" spans="3:8" ht="16.5">
      <c r="C573" s="315"/>
      <c r="H573" s="315"/>
    </row>
    <row r="574" spans="3:8" ht="16.5">
      <c r="C574" s="315"/>
      <c r="H574" s="315"/>
    </row>
    <row r="575" spans="3:8" ht="16.5">
      <c r="C575" s="315"/>
      <c r="H575" s="315"/>
    </row>
    <row r="576" spans="3:8" ht="16.5">
      <c r="C576" s="315"/>
      <c r="H576" s="315"/>
    </row>
    <row r="577" spans="3:8" ht="16.5">
      <c r="C577" s="315"/>
      <c r="H577" s="315"/>
    </row>
    <row r="578" spans="3:8" ht="16.5">
      <c r="C578" s="315"/>
      <c r="H578" s="315"/>
    </row>
    <row r="579" spans="3:8" ht="16.5">
      <c r="C579" s="315"/>
      <c r="H579" s="315"/>
    </row>
    <row r="580" spans="3:8" ht="16.5">
      <c r="C580" s="315"/>
      <c r="H580" s="315"/>
    </row>
    <row r="581" spans="3:8" ht="16.5">
      <c r="C581" s="315"/>
      <c r="H581" s="315"/>
    </row>
    <row r="582" spans="3:8" ht="16.5">
      <c r="C582" s="315"/>
      <c r="H582" s="315"/>
    </row>
    <row r="583" spans="3:8" ht="16.5">
      <c r="C583" s="315"/>
      <c r="H583" s="315"/>
    </row>
    <row r="584" spans="3:8" ht="16.5">
      <c r="C584" s="315"/>
      <c r="H584" s="315"/>
    </row>
    <row r="585" spans="3:8" ht="16.5">
      <c r="C585" s="315"/>
      <c r="H585" s="315"/>
    </row>
    <row r="586" spans="3:8" ht="16.5">
      <c r="C586" s="315"/>
      <c r="H586" s="315"/>
    </row>
    <row r="587" spans="3:8" ht="16.5">
      <c r="C587" s="315"/>
      <c r="H587" s="315"/>
    </row>
    <row r="588" spans="3:8" ht="16.5">
      <c r="C588" s="315"/>
      <c r="H588" s="315"/>
    </row>
    <row r="589" spans="3:8" ht="16.5">
      <c r="C589" s="315"/>
      <c r="H589" s="315"/>
    </row>
    <row r="590" spans="3:8" ht="16.5">
      <c r="C590" s="315"/>
      <c r="H590" s="315"/>
    </row>
    <row r="591" spans="3:8" ht="16.5">
      <c r="C591" s="315"/>
      <c r="H591" s="315"/>
    </row>
    <row r="592" spans="3:8" ht="16.5">
      <c r="C592" s="315"/>
      <c r="H592" s="315"/>
    </row>
    <row r="593" spans="3:8" ht="16.5">
      <c r="C593" s="315"/>
      <c r="H593" s="315"/>
    </row>
    <row r="594" spans="3:8" ht="16.5">
      <c r="C594" s="315"/>
      <c r="H594" s="315"/>
    </row>
    <row r="595" spans="3:8" ht="16.5">
      <c r="C595" s="315"/>
      <c r="H595" s="315"/>
    </row>
    <row r="596" spans="3:8" ht="16.5">
      <c r="C596" s="315"/>
      <c r="H596" s="315"/>
    </row>
    <row r="597" spans="3:8" ht="16.5">
      <c r="C597" s="315"/>
      <c r="H597" s="315"/>
    </row>
    <row r="598" ht="16.5">
      <c r="C598" s="315"/>
    </row>
    <row r="599" ht="16.5">
      <c r="C599" s="315"/>
    </row>
    <row r="600" ht="16.5">
      <c r="C600" s="315"/>
    </row>
    <row r="601" ht="16.5">
      <c r="C601" s="315"/>
    </row>
    <row r="602" ht="16.5">
      <c r="C602" s="315"/>
    </row>
    <row r="603" ht="16.5">
      <c r="C603" s="315"/>
    </row>
    <row r="604" ht="16.5">
      <c r="C604" s="315"/>
    </row>
    <row r="605" ht="16.5">
      <c r="C605" s="315"/>
    </row>
    <row r="606" ht="16.5">
      <c r="C606" s="315"/>
    </row>
    <row r="607" ht="16.5">
      <c r="C607" s="315"/>
    </row>
    <row r="608" ht="16.5">
      <c r="C608" s="315"/>
    </row>
    <row r="609" ht="16.5">
      <c r="C609" s="315"/>
    </row>
    <row r="610" ht="16.5">
      <c r="C610" s="315"/>
    </row>
    <row r="611" ht="16.5">
      <c r="C611" s="315"/>
    </row>
    <row r="612" ht="16.5">
      <c r="C612" s="315"/>
    </row>
    <row r="613" ht="16.5">
      <c r="C613" s="315"/>
    </row>
    <row r="614" ht="16.5">
      <c r="C614" s="315"/>
    </row>
    <row r="615" ht="16.5">
      <c r="C615" s="315"/>
    </row>
    <row r="616" ht="16.5">
      <c r="C616" s="315"/>
    </row>
    <row r="617" ht="16.5">
      <c r="C617" s="315"/>
    </row>
    <row r="618" ht="16.5">
      <c r="C618" s="315"/>
    </row>
    <row r="619" ht="16.5">
      <c r="C619" s="315"/>
    </row>
    <row r="620" ht="16.5">
      <c r="C620" s="315"/>
    </row>
    <row r="621" ht="16.5">
      <c r="C621" s="315"/>
    </row>
    <row r="622" ht="16.5">
      <c r="C622" s="315"/>
    </row>
    <row r="623" ht="16.5">
      <c r="C623" s="315"/>
    </row>
    <row r="624" ht="16.5">
      <c r="C624" s="315"/>
    </row>
    <row r="625" ht="16.5">
      <c r="C625" s="315"/>
    </row>
    <row r="626" ht="16.5">
      <c r="C626" s="315"/>
    </row>
    <row r="627" ht="16.5">
      <c r="C627" s="315"/>
    </row>
    <row r="628" ht="16.5">
      <c r="C628" s="315"/>
    </row>
    <row r="629" ht="16.5">
      <c r="C629" s="315"/>
    </row>
    <row r="630" ht="16.5">
      <c r="C630" s="315"/>
    </row>
    <row r="631" ht="16.5">
      <c r="C631" s="315"/>
    </row>
    <row r="632" ht="16.5">
      <c r="C632" s="315"/>
    </row>
    <row r="633" ht="16.5">
      <c r="C633" s="315"/>
    </row>
    <row r="634" ht="16.5">
      <c r="C634" s="315"/>
    </row>
    <row r="635" ht="16.5">
      <c r="C635" s="315"/>
    </row>
    <row r="636" ht="16.5">
      <c r="C636" s="315"/>
    </row>
    <row r="637" ht="16.5">
      <c r="C637" s="315"/>
    </row>
    <row r="638" ht="16.5">
      <c r="C638" s="315"/>
    </row>
    <row r="639" ht="16.5">
      <c r="C639" s="315"/>
    </row>
    <row r="640" ht="16.5">
      <c r="C640" s="315"/>
    </row>
    <row r="641" ht="16.5">
      <c r="C641" s="315"/>
    </row>
    <row r="642" ht="16.5">
      <c r="C642" s="315"/>
    </row>
    <row r="643" ht="16.5">
      <c r="C643" s="315"/>
    </row>
    <row r="644" ht="16.5">
      <c r="C644" s="315"/>
    </row>
    <row r="645" ht="16.5">
      <c r="C645" s="315"/>
    </row>
    <row r="646" ht="16.5">
      <c r="C646" s="315"/>
    </row>
    <row r="647" ht="16.5">
      <c r="C647" s="315"/>
    </row>
    <row r="648" ht="16.5">
      <c r="C648" s="315"/>
    </row>
    <row r="649" ht="16.5">
      <c r="C649" s="315"/>
    </row>
    <row r="650" ht="16.5">
      <c r="C650" s="315"/>
    </row>
    <row r="651" ht="16.5">
      <c r="C651" s="315"/>
    </row>
    <row r="652" ht="16.5">
      <c r="C652" s="315"/>
    </row>
    <row r="653" ht="16.5">
      <c r="C653" s="315"/>
    </row>
    <row r="654" ht="16.5">
      <c r="C654" s="315"/>
    </row>
    <row r="655" ht="16.5">
      <c r="C655" s="315"/>
    </row>
    <row r="656" ht="16.5">
      <c r="C656" s="315"/>
    </row>
    <row r="657" ht="16.5">
      <c r="C657" s="315"/>
    </row>
    <row r="658" ht="16.5">
      <c r="C658" s="315"/>
    </row>
    <row r="659" ht="16.5">
      <c r="C659" s="315"/>
    </row>
    <row r="660" ht="16.5">
      <c r="C660" s="315"/>
    </row>
    <row r="661" ht="16.5">
      <c r="C661" s="315"/>
    </row>
    <row r="662" ht="16.5">
      <c r="C662" s="315"/>
    </row>
    <row r="663" ht="16.5">
      <c r="C663" s="315"/>
    </row>
    <row r="664" ht="16.5">
      <c r="C664" s="315"/>
    </row>
    <row r="665" ht="16.5">
      <c r="C665" s="315"/>
    </row>
    <row r="666" ht="16.5">
      <c r="C666" s="315"/>
    </row>
    <row r="667" ht="16.5">
      <c r="C667" s="315"/>
    </row>
    <row r="668" ht="16.5">
      <c r="C668" s="315"/>
    </row>
    <row r="669" ht="16.5">
      <c r="C669" s="315"/>
    </row>
    <row r="670" ht="16.5">
      <c r="C670" s="315"/>
    </row>
    <row r="671" ht="16.5">
      <c r="C671" s="315"/>
    </row>
    <row r="672" ht="16.5">
      <c r="C672" s="315"/>
    </row>
    <row r="673" ht="16.5">
      <c r="C673" s="315"/>
    </row>
    <row r="674" ht="16.5">
      <c r="C674" s="315"/>
    </row>
    <row r="675" ht="16.5">
      <c r="C675" s="315"/>
    </row>
    <row r="676" ht="16.5">
      <c r="C676" s="315"/>
    </row>
    <row r="677" ht="16.5">
      <c r="C677" s="315"/>
    </row>
    <row r="678" ht="16.5">
      <c r="C678" s="315"/>
    </row>
    <row r="679" ht="16.5">
      <c r="C679" s="315"/>
    </row>
    <row r="680" ht="16.5">
      <c r="C680" s="315"/>
    </row>
    <row r="681" ht="16.5">
      <c r="C681" s="315"/>
    </row>
    <row r="682" ht="16.5">
      <c r="C682" s="315"/>
    </row>
    <row r="683" ht="16.5">
      <c r="C683" s="315"/>
    </row>
    <row r="684" ht="16.5">
      <c r="C684" s="315"/>
    </row>
    <row r="685" ht="16.5">
      <c r="C685" s="315"/>
    </row>
    <row r="686" ht="16.5">
      <c r="C686" s="315"/>
    </row>
    <row r="687" ht="16.5">
      <c r="C687" s="315"/>
    </row>
    <row r="688" ht="16.5">
      <c r="C688" s="315"/>
    </row>
    <row r="689" ht="16.5">
      <c r="C689" s="315"/>
    </row>
    <row r="690" ht="16.5">
      <c r="C690" s="315"/>
    </row>
    <row r="691" ht="16.5">
      <c r="C691" s="315"/>
    </row>
    <row r="692" ht="16.5">
      <c r="C692" s="315"/>
    </row>
    <row r="693" ht="16.5">
      <c r="C693" s="315"/>
    </row>
    <row r="694" ht="16.5">
      <c r="C694" s="315"/>
    </row>
    <row r="695" ht="16.5">
      <c r="C695" s="315"/>
    </row>
    <row r="696" ht="16.5">
      <c r="C696" s="315"/>
    </row>
    <row r="697" ht="16.5">
      <c r="C697" s="315"/>
    </row>
    <row r="698" ht="16.5">
      <c r="C698" s="315"/>
    </row>
    <row r="699" ht="16.5">
      <c r="C699" s="315"/>
    </row>
    <row r="700" ht="16.5">
      <c r="C700" s="315"/>
    </row>
    <row r="701" ht="16.5">
      <c r="C701" s="315"/>
    </row>
    <row r="702" ht="16.5">
      <c r="C702" s="315"/>
    </row>
    <row r="703" ht="16.5">
      <c r="C703" s="315"/>
    </row>
    <row r="704" ht="16.5">
      <c r="C704" s="315"/>
    </row>
    <row r="705" ht="16.5">
      <c r="C705" s="315"/>
    </row>
    <row r="706" ht="16.5">
      <c r="C706" s="315"/>
    </row>
    <row r="707" ht="16.5">
      <c r="C707" s="315"/>
    </row>
    <row r="708" ht="16.5">
      <c r="C708" s="315"/>
    </row>
    <row r="709" ht="16.5">
      <c r="C709" s="315"/>
    </row>
    <row r="710" ht="16.5">
      <c r="C710" s="315"/>
    </row>
    <row r="711" ht="16.5">
      <c r="C711" s="315"/>
    </row>
    <row r="712" ht="16.5">
      <c r="C712" s="315"/>
    </row>
    <row r="713" ht="16.5">
      <c r="C713" s="315"/>
    </row>
    <row r="714" ht="16.5">
      <c r="C714" s="315"/>
    </row>
    <row r="715" ht="16.5">
      <c r="C715" s="315"/>
    </row>
    <row r="716" ht="16.5">
      <c r="C716" s="315"/>
    </row>
    <row r="717" ht="16.5">
      <c r="C717" s="315"/>
    </row>
    <row r="718" ht="16.5">
      <c r="C718" s="315"/>
    </row>
    <row r="719" ht="16.5">
      <c r="C719" s="315"/>
    </row>
    <row r="720" ht="16.5">
      <c r="C720" s="315"/>
    </row>
    <row r="721" ht="16.5">
      <c r="C721" s="315"/>
    </row>
    <row r="722" ht="16.5">
      <c r="C722" s="315"/>
    </row>
    <row r="723" ht="16.5">
      <c r="C723" s="315"/>
    </row>
    <row r="724" ht="16.5">
      <c r="C724" s="315"/>
    </row>
    <row r="725" ht="16.5">
      <c r="C725" s="315"/>
    </row>
    <row r="726" ht="16.5">
      <c r="C726" s="315"/>
    </row>
    <row r="727" ht="16.5">
      <c r="C727" s="315"/>
    </row>
    <row r="728" ht="16.5">
      <c r="C728" s="315"/>
    </row>
    <row r="729" ht="16.5">
      <c r="C729" s="315"/>
    </row>
    <row r="730" ht="16.5">
      <c r="C730" s="315"/>
    </row>
    <row r="731" ht="16.5">
      <c r="C731" s="315"/>
    </row>
    <row r="732" ht="16.5">
      <c r="C732" s="315"/>
    </row>
    <row r="733" ht="16.5">
      <c r="C733" s="315"/>
    </row>
    <row r="734" ht="16.5">
      <c r="C734" s="315"/>
    </row>
    <row r="735" ht="16.5">
      <c r="C735" s="315"/>
    </row>
    <row r="736" ht="16.5">
      <c r="C736" s="315"/>
    </row>
    <row r="737" ht="16.5">
      <c r="C737" s="315"/>
    </row>
    <row r="738" ht="16.5">
      <c r="C738" s="315"/>
    </row>
    <row r="739" ht="16.5">
      <c r="C739" s="315"/>
    </row>
    <row r="740" ht="16.5">
      <c r="C740" s="315"/>
    </row>
    <row r="741" ht="16.5">
      <c r="C741" s="315"/>
    </row>
    <row r="742" ht="16.5">
      <c r="C742" s="315"/>
    </row>
    <row r="743" ht="16.5">
      <c r="C743" s="315"/>
    </row>
    <row r="744" ht="16.5">
      <c r="C744" s="315"/>
    </row>
    <row r="745" ht="16.5">
      <c r="C745" s="315"/>
    </row>
    <row r="746" ht="16.5">
      <c r="C746" s="315"/>
    </row>
    <row r="747" ht="16.5">
      <c r="C747" s="315"/>
    </row>
    <row r="748" ht="16.5">
      <c r="C748" s="315"/>
    </row>
    <row r="749" ht="16.5">
      <c r="C749" s="315"/>
    </row>
    <row r="750" ht="16.5">
      <c r="C750" s="315"/>
    </row>
    <row r="751" ht="16.5">
      <c r="C751" s="315"/>
    </row>
    <row r="752" ht="16.5">
      <c r="C752" s="315"/>
    </row>
    <row r="753" ht="16.5">
      <c r="C753" s="315"/>
    </row>
    <row r="754" ht="16.5">
      <c r="C754" s="315"/>
    </row>
    <row r="755" ht="16.5">
      <c r="C755" s="315"/>
    </row>
    <row r="756" ht="16.5">
      <c r="C756" s="315"/>
    </row>
    <row r="757" ht="16.5">
      <c r="C757" s="315"/>
    </row>
    <row r="758" ht="16.5">
      <c r="C758" s="315"/>
    </row>
    <row r="759" ht="16.5">
      <c r="C759" s="315"/>
    </row>
    <row r="760" ht="16.5">
      <c r="C760" s="315"/>
    </row>
    <row r="761" ht="16.5">
      <c r="C761" s="315"/>
    </row>
    <row r="762" ht="16.5">
      <c r="C762" s="315"/>
    </row>
    <row r="763" ht="16.5">
      <c r="C763" s="315"/>
    </row>
    <row r="764" ht="16.5">
      <c r="C764" s="315"/>
    </row>
    <row r="765" ht="16.5">
      <c r="C765" s="315"/>
    </row>
    <row r="766" ht="16.5">
      <c r="C766" s="315"/>
    </row>
    <row r="767" ht="16.5">
      <c r="C767" s="315"/>
    </row>
    <row r="768" ht="16.5">
      <c r="C768" s="315"/>
    </row>
    <row r="769" ht="16.5">
      <c r="C769" s="315"/>
    </row>
    <row r="770" ht="16.5">
      <c r="C770" s="315"/>
    </row>
    <row r="771" ht="16.5">
      <c r="C771" s="315"/>
    </row>
    <row r="772" ht="16.5">
      <c r="C772" s="315"/>
    </row>
    <row r="773" ht="16.5">
      <c r="C773" s="315"/>
    </row>
    <row r="774" ht="16.5">
      <c r="C774" s="315"/>
    </row>
    <row r="775" ht="16.5">
      <c r="C775" s="315"/>
    </row>
    <row r="776" ht="16.5">
      <c r="C776" s="315"/>
    </row>
    <row r="777" ht="16.5">
      <c r="C777" s="315"/>
    </row>
    <row r="778" ht="16.5">
      <c r="C778" s="315"/>
    </row>
    <row r="779" ht="16.5">
      <c r="C779" s="315"/>
    </row>
    <row r="780" ht="16.5">
      <c r="C780" s="315"/>
    </row>
    <row r="781" ht="16.5">
      <c r="C781" s="315"/>
    </row>
    <row r="782" ht="16.5">
      <c r="C782" s="315"/>
    </row>
    <row r="783" ht="16.5">
      <c r="C783" s="315"/>
    </row>
    <row r="784" ht="16.5">
      <c r="C784" s="315"/>
    </row>
    <row r="785" ht="16.5">
      <c r="C785" s="315"/>
    </row>
    <row r="786" ht="16.5">
      <c r="C786" s="315"/>
    </row>
    <row r="787" ht="16.5">
      <c r="C787" s="315"/>
    </row>
    <row r="788" ht="16.5">
      <c r="C788" s="315"/>
    </row>
    <row r="789" ht="16.5">
      <c r="C789" s="315"/>
    </row>
    <row r="790" ht="16.5">
      <c r="C790" s="315"/>
    </row>
    <row r="791" ht="16.5">
      <c r="C791" s="315"/>
    </row>
    <row r="792" ht="16.5">
      <c r="C792" s="315"/>
    </row>
    <row r="793" ht="16.5">
      <c r="C793" s="315"/>
    </row>
    <row r="794" ht="16.5">
      <c r="C794" s="315"/>
    </row>
    <row r="795" ht="16.5">
      <c r="C795" s="315"/>
    </row>
    <row r="796" ht="16.5">
      <c r="C796" s="315"/>
    </row>
    <row r="797" ht="16.5">
      <c r="C797" s="315"/>
    </row>
    <row r="798" ht="16.5">
      <c r="C798" s="315"/>
    </row>
    <row r="799" ht="16.5">
      <c r="C799" s="315"/>
    </row>
    <row r="800" ht="16.5">
      <c r="C800" s="315"/>
    </row>
    <row r="801" ht="16.5">
      <c r="C801" s="315"/>
    </row>
    <row r="802" ht="16.5">
      <c r="C802" s="315"/>
    </row>
    <row r="803" ht="16.5">
      <c r="C803" s="315"/>
    </row>
    <row r="804" ht="16.5">
      <c r="C804" s="315"/>
    </row>
    <row r="805" ht="16.5">
      <c r="C805" s="315"/>
    </row>
    <row r="806" ht="16.5">
      <c r="C806" s="315"/>
    </row>
    <row r="807" ht="16.5">
      <c r="C807" s="315"/>
    </row>
    <row r="808" ht="16.5">
      <c r="C808" s="315"/>
    </row>
    <row r="809" ht="16.5">
      <c r="C809" s="315"/>
    </row>
    <row r="810" ht="16.5">
      <c r="C810" s="315"/>
    </row>
    <row r="811" ht="16.5">
      <c r="C811" s="315"/>
    </row>
    <row r="812" ht="16.5">
      <c r="C812" s="315"/>
    </row>
    <row r="813" ht="16.5">
      <c r="C813" s="315"/>
    </row>
    <row r="814" ht="16.5">
      <c r="C814" s="315"/>
    </row>
    <row r="815" ht="16.5">
      <c r="C815" s="315"/>
    </row>
    <row r="816" ht="16.5">
      <c r="C816" s="315"/>
    </row>
    <row r="817" ht="16.5">
      <c r="C817" s="315"/>
    </row>
    <row r="818" ht="16.5">
      <c r="C818" s="315"/>
    </row>
    <row r="819" ht="16.5">
      <c r="C819" s="315"/>
    </row>
    <row r="820" ht="16.5">
      <c r="C820" s="315"/>
    </row>
    <row r="821" ht="16.5">
      <c r="C821" s="315"/>
    </row>
    <row r="822" ht="16.5">
      <c r="C822" s="315"/>
    </row>
    <row r="823" ht="16.5">
      <c r="C823" s="315"/>
    </row>
    <row r="824" ht="16.5">
      <c r="C824" s="315"/>
    </row>
    <row r="825" ht="16.5">
      <c r="C825" s="315"/>
    </row>
    <row r="826" ht="16.5">
      <c r="C826" s="315"/>
    </row>
    <row r="827" ht="16.5">
      <c r="C827" s="315"/>
    </row>
    <row r="828" ht="16.5">
      <c r="C828" s="315"/>
    </row>
    <row r="829" ht="16.5">
      <c r="C829" s="315"/>
    </row>
    <row r="830" ht="16.5">
      <c r="C830" s="315"/>
    </row>
    <row r="831" ht="16.5">
      <c r="C831" s="315"/>
    </row>
    <row r="832" ht="16.5">
      <c r="C832" s="315"/>
    </row>
    <row r="833" ht="16.5">
      <c r="C833" s="315"/>
    </row>
    <row r="834" ht="16.5">
      <c r="C834" s="315"/>
    </row>
    <row r="835" ht="16.5">
      <c r="C835" s="315"/>
    </row>
    <row r="836" ht="16.5">
      <c r="C836" s="315"/>
    </row>
    <row r="837" ht="16.5">
      <c r="C837" s="315"/>
    </row>
    <row r="838" ht="16.5">
      <c r="C838" s="315"/>
    </row>
    <row r="839" ht="16.5">
      <c r="C839" s="315"/>
    </row>
    <row r="840" ht="16.5">
      <c r="C840" s="315"/>
    </row>
    <row r="841" ht="16.5">
      <c r="C841" s="315"/>
    </row>
    <row r="842" ht="16.5">
      <c r="C842" s="315"/>
    </row>
    <row r="843" ht="16.5">
      <c r="C843" s="315"/>
    </row>
    <row r="844" ht="16.5">
      <c r="C844" s="315"/>
    </row>
    <row r="845" ht="16.5">
      <c r="C845" s="315"/>
    </row>
    <row r="846" ht="16.5">
      <c r="C846" s="315"/>
    </row>
    <row r="847" ht="16.5">
      <c r="C847" s="315"/>
    </row>
    <row r="848" ht="16.5">
      <c r="C848" s="315"/>
    </row>
    <row r="849" ht="16.5">
      <c r="C849" s="315"/>
    </row>
    <row r="850" ht="16.5">
      <c r="C850" s="315"/>
    </row>
    <row r="851" ht="16.5">
      <c r="C851" s="315"/>
    </row>
    <row r="852" ht="16.5">
      <c r="C852" s="315"/>
    </row>
    <row r="853" ht="16.5">
      <c r="C853" s="315"/>
    </row>
    <row r="854" ht="16.5">
      <c r="C854" s="315"/>
    </row>
    <row r="855" ht="16.5">
      <c r="C855" s="315"/>
    </row>
    <row r="856" ht="16.5">
      <c r="C856" s="315"/>
    </row>
    <row r="857" ht="16.5">
      <c r="C857" s="315"/>
    </row>
    <row r="858" ht="16.5">
      <c r="C858" s="315"/>
    </row>
    <row r="859" ht="16.5">
      <c r="C859" s="315"/>
    </row>
    <row r="860" ht="16.5">
      <c r="C860" s="315"/>
    </row>
    <row r="861" ht="16.5">
      <c r="C861" s="315"/>
    </row>
    <row r="862" ht="16.5">
      <c r="C862" s="315"/>
    </row>
    <row r="863" ht="16.5">
      <c r="C863" s="315"/>
    </row>
    <row r="864" ht="16.5">
      <c r="C864" s="315"/>
    </row>
    <row r="865" ht="16.5">
      <c r="C865" s="315"/>
    </row>
    <row r="866" ht="16.5">
      <c r="C866" s="315"/>
    </row>
    <row r="867" ht="16.5">
      <c r="C867" s="315"/>
    </row>
    <row r="868" ht="16.5">
      <c r="C868" s="315"/>
    </row>
    <row r="869" ht="16.5">
      <c r="C869" s="315"/>
    </row>
    <row r="870" ht="16.5">
      <c r="C870" s="315"/>
    </row>
    <row r="871" ht="16.5">
      <c r="C871" s="315"/>
    </row>
    <row r="872" ht="16.5">
      <c r="C872" s="315"/>
    </row>
    <row r="873" ht="16.5">
      <c r="C873" s="315"/>
    </row>
    <row r="874" ht="16.5">
      <c r="C874" s="315"/>
    </row>
    <row r="875" ht="16.5">
      <c r="C875" s="315"/>
    </row>
    <row r="876" ht="16.5">
      <c r="C876" s="315"/>
    </row>
    <row r="877" ht="16.5">
      <c r="C877" s="315"/>
    </row>
    <row r="878" ht="16.5">
      <c r="C878" s="315"/>
    </row>
    <row r="879" ht="16.5">
      <c r="C879" s="315"/>
    </row>
    <row r="880" ht="16.5">
      <c r="C880" s="315"/>
    </row>
    <row r="881" ht="16.5">
      <c r="C881" s="315"/>
    </row>
    <row r="882" ht="16.5">
      <c r="C882" s="315"/>
    </row>
    <row r="883" ht="16.5">
      <c r="C883" s="315"/>
    </row>
    <row r="884" ht="16.5">
      <c r="C884" s="315"/>
    </row>
    <row r="885" ht="16.5">
      <c r="C885" s="315"/>
    </row>
    <row r="886" ht="16.5">
      <c r="C886" s="315"/>
    </row>
    <row r="887" ht="16.5">
      <c r="C887" s="315"/>
    </row>
    <row r="888" ht="16.5">
      <c r="C888" s="315"/>
    </row>
    <row r="889" ht="16.5">
      <c r="C889" s="315"/>
    </row>
    <row r="890" ht="16.5">
      <c r="C890" s="315"/>
    </row>
    <row r="891" ht="16.5">
      <c r="C891" s="315"/>
    </row>
    <row r="892" ht="16.5">
      <c r="C892" s="315"/>
    </row>
    <row r="893" ht="16.5">
      <c r="C893" s="315"/>
    </row>
    <row r="894" ht="16.5">
      <c r="C894" s="315"/>
    </row>
    <row r="895" ht="16.5">
      <c r="C895" s="315"/>
    </row>
    <row r="896" ht="16.5">
      <c r="C896" s="315"/>
    </row>
    <row r="897" ht="16.5">
      <c r="C897" s="315"/>
    </row>
    <row r="898" ht="16.5">
      <c r="C898" s="315"/>
    </row>
    <row r="899" ht="16.5">
      <c r="C899" s="315"/>
    </row>
    <row r="900" ht="16.5">
      <c r="C900" s="315"/>
    </row>
    <row r="901" ht="16.5">
      <c r="C901" s="315"/>
    </row>
    <row r="902" ht="16.5">
      <c r="C902" s="315"/>
    </row>
    <row r="903" ht="16.5">
      <c r="C903" s="315"/>
    </row>
    <row r="904" ht="16.5">
      <c r="C904" s="315"/>
    </row>
    <row r="905" ht="16.5">
      <c r="C905" s="315"/>
    </row>
    <row r="906" ht="16.5">
      <c r="C906" s="315"/>
    </row>
    <row r="907" ht="16.5">
      <c r="C907" s="315"/>
    </row>
    <row r="908" ht="16.5">
      <c r="C908" s="315"/>
    </row>
    <row r="909" ht="16.5">
      <c r="C909" s="315"/>
    </row>
    <row r="910" ht="16.5">
      <c r="C910" s="315"/>
    </row>
    <row r="911" ht="16.5">
      <c r="C911" s="315"/>
    </row>
    <row r="912" ht="16.5">
      <c r="C912" s="315"/>
    </row>
    <row r="913" ht="16.5">
      <c r="C913" s="315"/>
    </row>
    <row r="914" ht="16.5">
      <c r="C914" s="315"/>
    </row>
    <row r="915" ht="16.5">
      <c r="C915" s="315"/>
    </row>
    <row r="916" ht="16.5">
      <c r="C916" s="315"/>
    </row>
    <row r="917" ht="16.5">
      <c r="C917" s="315"/>
    </row>
    <row r="918" ht="16.5">
      <c r="C918" s="315"/>
    </row>
    <row r="919" ht="16.5">
      <c r="C919" s="315"/>
    </row>
    <row r="920" ht="16.5">
      <c r="C920" s="315"/>
    </row>
    <row r="921" ht="16.5">
      <c r="C921" s="315"/>
    </row>
    <row r="922" ht="16.5">
      <c r="C922" s="315"/>
    </row>
    <row r="923" ht="16.5">
      <c r="C923" s="315"/>
    </row>
    <row r="924" ht="16.5">
      <c r="C924" s="315"/>
    </row>
    <row r="925" ht="16.5">
      <c r="C925" s="315"/>
    </row>
    <row r="926" ht="16.5">
      <c r="C926" s="315"/>
    </row>
    <row r="927" ht="16.5">
      <c r="C927" s="315"/>
    </row>
    <row r="928" ht="16.5">
      <c r="C928" s="315"/>
    </row>
    <row r="929" ht="16.5">
      <c r="C929" s="315"/>
    </row>
    <row r="930" ht="16.5">
      <c r="C930" s="315"/>
    </row>
    <row r="931" ht="16.5">
      <c r="C931" s="315"/>
    </row>
    <row r="932" ht="16.5">
      <c r="C932" s="315"/>
    </row>
    <row r="933" ht="16.5">
      <c r="C933" s="315"/>
    </row>
    <row r="934" ht="16.5">
      <c r="C934" s="315"/>
    </row>
    <row r="935" ht="16.5">
      <c r="C935" s="315"/>
    </row>
    <row r="936" ht="16.5">
      <c r="C936" s="315"/>
    </row>
    <row r="937" ht="16.5">
      <c r="C937" s="315"/>
    </row>
    <row r="938" ht="16.5">
      <c r="C938" s="315"/>
    </row>
    <row r="939" ht="16.5">
      <c r="C939" s="315"/>
    </row>
    <row r="940" ht="16.5">
      <c r="C940" s="315"/>
    </row>
    <row r="941" ht="16.5">
      <c r="C941" s="315"/>
    </row>
    <row r="942" ht="16.5">
      <c r="C942" s="315"/>
    </row>
    <row r="943" ht="16.5">
      <c r="C943" s="315"/>
    </row>
    <row r="944" ht="16.5">
      <c r="C944" s="315"/>
    </row>
    <row r="945" ht="16.5">
      <c r="C945" s="315"/>
    </row>
    <row r="946" ht="16.5">
      <c r="C946" s="315"/>
    </row>
    <row r="947" ht="16.5">
      <c r="C947" s="315"/>
    </row>
  </sheetData>
  <sheetProtection/>
  <mergeCells count="8">
    <mergeCell ref="A4:A5"/>
    <mergeCell ref="B4:B5"/>
    <mergeCell ref="C4:C5"/>
    <mergeCell ref="D4:D5"/>
    <mergeCell ref="H4:H5"/>
    <mergeCell ref="E4:E5"/>
    <mergeCell ref="F4:F5"/>
    <mergeCell ref="G4:G5"/>
  </mergeCells>
  <printOptions horizontalCentered="1" verticalCentered="1"/>
  <pageMargins left="0.7874015748031497" right="0.7874015748031497" top="0.5905511811023623" bottom="0.5905511811023623" header="0" footer="0.31496062992125984"/>
  <pageSetup firstPageNumber="30" useFirstPageNumber="1" horizontalDpi="600" verticalDpi="600" orientation="portrait" paperSize="9" r:id="rId2"/>
  <headerFooter alignWithMargins="0">
    <oddFooter xml:space="preserve">&amp;C&amp;P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00390625" defaultRowHeight="16.5"/>
  <sheetData/>
  <sheetProtection/>
  <printOptions horizontalCentered="1" verticalCentered="1"/>
  <pageMargins left="0.7480314960629921" right="0.7480314960629921" top="0.5905511811023623" bottom="0.5905511811023623" header="0" footer="0.31496062992125984"/>
  <pageSetup firstPageNumber="32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K7" sqref="K7"/>
    </sheetView>
  </sheetViews>
  <sheetFormatPr defaultColWidth="8.75390625" defaultRowHeight="16.5"/>
  <cols>
    <col min="1" max="1" width="11.625" style="199" customWidth="1"/>
    <col min="2" max="2" width="11.125" style="199" customWidth="1"/>
    <col min="3" max="3" width="4.375" style="199" customWidth="1"/>
    <col min="4" max="4" width="11.125" style="199" customWidth="1"/>
    <col min="5" max="5" width="4.375" style="199" customWidth="1"/>
    <col min="6" max="6" width="12.25390625" style="199" customWidth="1"/>
    <col min="7" max="7" width="11.125" style="199" customWidth="1"/>
    <col min="8" max="8" width="4.375" style="199" customWidth="1"/>
    <col min="9" max="9" width="11.125" style="199" customWidth="1"/>
    <col min="10" max="10" width="4.375" style="199" customWidth="1"/>
    <col min="11" max="16384" width="8.75390625" style="199" customWidth="1"/>
  </cols>
  <sheetData>
    <row r="1" spans="1:10" ht="26.25" customHeight="1">
      <c r="A1" s="599" t="s">
        <v>434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0" ht="26.25" customHeight="1">
      <c r="A2" s="342" t="s">
        <v>433</v>
      </c>
      <c r="B2" s="198"/>
      <c r="C2" s="613" t="s">
        <v>435</v>
      </c>
      <c r="D2" s="613"/>
      <c r="E2" s="613"/>
      <c r="F2" s="613"/>
      <c r="G2" s="613"/>
      <c r="H2" s="613"/>
      <c r="I2" s="600" t="s">
        <v>471</v>
      </c>
      <c r="J2" s="600"/>
    </row>
    <row r="3" spans="2:10" ht="26.25" customHeight="1">
      <c r="B3" s="614" t="s">
        <v>556</v>
      </c>
      <c r="C3" s="615"/>
      <c r="D3" s="615"/>
      <c r="E3" s="615"/>
      <c r="F3" s="615"/>
      <c r="G3" s="615"/>
      <c r="H3" s="615"/>
      <c r="I3" s="625" t="s">
        <v>417</v>
      </c>
      <c r="J3" s="625"/>
    </row>
    <row r="4" spans="1:10" ht="18" customHeight="1">
      <c r="A4" s="639" t="s">
        <v>183</v>
      </c>
      <c r="B4" s="651" t="s">
        <v>255</v>
      </c>
      <c r="C4" s="652"/>
      <c r="D4" s="645" t="s">
        <v>7</v>
      </c>
      <c r="E4" s="646"/>
      <c r="F4" s="659" t="s">
        <v>183</v>
      </c>
      <c r="G4" s="655" t="s">
        <v>255</v>
      </c>
      <c r="H4" s="656"/>
      <c r="I4" s="645" t="s">
        <v>7</v>
      </c>
      <c r="J4" s="646"/>
    </row>
    <row r="5" spans="1:10" ht="18" customHeight="1">
      <c r="A5" s="649"/>
      <c r="B5" s="653"/>
      <c r="C5" s="654"/>
      <c r="D5" s="647"/>
      <c r="E5" s="648"/>
      <c r="F5" s="660"/>
      <c r="G5" s="657"/>
      <c r="H5" s="658"/>
      <c r="I5" s="647"/>
      <c r="J5" s="648"/>
    </row>
    <row r="6" spans="1:10" ht="18" customHeight="1">
      <c r="A6" s="650"/>
      <c r="B6" s="343" t="s">
        <v>184</v>
      </c>
      <c r="C6" s="344" t="s">
        <v>8</v>
      </c>
      <c r="D6" s="209" t="s">
        <v>184</v>
      </c>
      <c r="E6" s="345" t="s">
        <v>8</v>
      </c>
      <c r="F6" s="661"/>
      <c r="G6" s="209" t="s">
        <v>184</v>
      </c>
      <c r="H6" s="346" t="s">
        <v>8</v>
      </c>
      <c r="I6" s="209" t="s">
        <v>184</v>
      </c>
      <c r="J6" s="345" t="s">
        <v>8</v>
      </c>
    </row>
    <row r="7" spans="1:10" ht="22.5" customHeight="1">
      <c r="A7" s="347" t="s">
        <v>282</v>
      </c>
      <c r="B7" s="348">
        <f>B8+B16+B25+B27</f>
        <v>18788203193</v>
      </c>
      <c r="C7" s="349">
        <f>B7/B$7*100</f>
        <v>100</v>
      </c>
      <c r="D7" s="348">
        <f>D8+D16+D25+D27</f>
        <v>17311784936</v>
      </c>
      <c r="E7" s="349">
        <f aca="true" t="shared" si="0" ref="E7:E31">D7/D$7*100</f>
        <v>100</v>
      </c>
      <c r="F7" s="350" t="s">
        <v>283</v>
      </c>
      <c r="G7" s="351">
        <f>G8+G12+G14</f>
        <v>6732195097</v>
      </c>
      <c r="H7" s="352">
        <f aca="true" t="shared" si="1" ref="H7:H17">G7/B$7*100</f>
        <v>35.832032620917374</v>
      </c>
      <c r="I7" s="353">
        <f>I8+I12+I14</f>
        <v>5959701086</v>
      </c>
      <c r="J7" s="354">
        <f aca="true" t="shared" si="2" ref="J7:J18">I7/D$7*100</f>
        <v>34.425688096475554</v>
      </c>
    </row>
    <row r="8" spans="1:10" ht="22.5" customHeight="1">
      <c r="A8" s="251" t="s">
        <v>284</v>
      </c>
      <c r="B8" s="224">
        <f>SUM(B9:B13)</f>
        <v>9358080457</v>
      </c>
      <c r="C8" s="222">
        <f aca="true" t="shared" si="3" ref="C8:C31">B8/B$7*100</f>
        <v>49.80827789049343</v>
      </c>
      <c r="D8" s="224">
        <v>8346681134</v>
      </c>
      <c r="E8" s="222">
        <f t="shared" si="0"/>
        <v>48.21386797985809</v>
      </c>
      <c r="F8" s="355" t="s">
        <v>369</v>
      </c>
      <c r="G8" s="356">
        <f>SUM(G9:G11)</f>
        <v>2503467242</v>
      </c>
      <c r="H8" s="357">
        <f t="shared" si="1"/>
        <v>13.32467621455535</v>
      </c>
      <c r="I8" s="358">
        <f>SUM(I9:I11)</f>
        <v>1657718126</v>
      </c>
      <c r="J8" s="359">
        <f t="shared" si="2"/>
        <v>9.575662660600418</v>
      </c>
    </row>
    <row r="9" spans="1:10" ht="22.5" customHeight="1">
      <c r="A9" s="227" t="s">
        <v>285</v>
      </c>
      <c r="B9" s="218">
        <f>'資產機關'!B9</f>
        <v>1778522417</v>
      </c>
      <c r="C9" s="219">
        <f t="shared" si="3"/>
        <v>9.466165544040058</v>
      </c>
      <c r="D9" s="218">
        <v>1227245512</v>
      </c>
      <c r="E9" s="219">
        <f t="shared" si="0"/>
        <v>7.089075543261473</v>
      </c>
      <c r="F9" s="227" t="s">
        <v>338</v>
      </c>
      <c r="G9" s="360">
        <f>'資產機關'!B34</f>
        <v>2138697229</v>
      </c>
      <c r="H9" s="361">
        <f t="shared" si="1"/>
        <v>11.383191926500047</v>
      </c>
      <c r="I9" s="242">
        <v>1495359017</v>
      </c>
      <c r="J9" s="362">
        <f t="shared" si="2"/>
        <v>8.637809576125155</v>
      </c>
    </row>
    <row r="10" spans="1:10" ht="22.5" customHeight="1">
      <c r="A10" s="227" t="s">
        <v>286</v>
      </c>
      <c r="B10" s="218">
        <f>'資產機關'!B10</f>
        <v>452696422</v>
      </c>
      <c r="C10" s="219">
        <f t="shared" si="3"/>
        <v>2.409471610189222</v>
      </c>
      <c r="D10" s="218">
        <v>470368192</v>
      </c>
      <c r="E10" s="219">
        <f t="shared" si="0"/>
        <v>2.7170404076697223</v>
      </c>
      <c r="F10" s="227" t="s">
        <v>339</v>
      </c>
      <c r="G10" s="360">
        <f>'資產機關'!B35</f>
        <v>364770013</v>
      </c>
      <c r="H10" s="361">
        <f t="shared" si="1"/>
        <v>1.9414842880553043</v>
      </c>
      <c r="I10" s="242">
        <v>162359109</v>
      </c>
      <c r="J10" s="362">
        <f t="shared" si="2"/>
        <v>0.9378530844752634</v>
      </c>
    </row>
    <row r="11" spans="1:10" ht="22.5" customHeight="1">
      <c r="A11" s="227" t="s">
        <v>287</v>
      </c>
      <c r="B11" s="218">
        <f>'資產機關'!B11</f>
        <v>7049896665</v>
      </c>
      <c r="C11" s="219">
        <f t="shared" si="3"/>
        <v>37.52299564029949</v>
      </c>
      <c r="D11" s="218">
        <v>6561234690</v>
      </c>
      <c r="E11" s="219">
        <f t="shared" si="0"/>
        <v>37.9003939469919</v>
      </c>
      <c r="F11" s="226" t="s">
        <v>370</v>
      </c>
      <c r="G11" s="363">
        <f>'資產機關'!B36</f>
        <v>0</v>
      </c>
      <c r="H11" s="225">
        <f t="shared" si="1"/>
        <v>0</v>
      </c>
      <c r="I11" s="242">
        <v>0</v>
      </c>
      <c r="J11" s="228">
        <f t="shared" si="2"/>
        <v>0</v>
      </c>
    </row>
    <row r="12" spans="1:10" ht="22.5" customHeight="1">
      <c r="A12" s="227" t="s">
        <v>288</v>
      </c>
      <c r="B12" s="218">
        <f>'資產機關'!B12</f>
        <v>74507456</v>
      </c>
      <c r="C12" s="219">
        <f t="shared" si="3"/>
        <v>0.3965650958456717</v>
      </c>
      <c r="D12" s="218">
        <v>87634475</v>
      </c>
      <c r="E12" s="219">
        <f t="shared" si="0"/>
        <v>0.5062128216355287</v>
      </c>
      <c r="F12" s="355" t="s">
        <v>323</v>
      </c>
      <c r="G12" s="356">
        <f>G13</f>
        <v>442783858</v>
      </c>
      <c r="H12" s="357">
        <f t="shared" si="1"/>
        <v>2.356712099882813</v>
      </c>
      <c r="I12" s="358">
        <f>SUM(I13)</f>
        <v>524175436</v>
      </c>
      <c r="J12" s="359">
        <f t="shared" si="2"/>
        <v>3.027853210618235</v>
      </c>
    </row>
    <row r="13" spans="1:10" ht="22.5" customHeight="1">
      <c r="A13" s="227" t="s">
        <v>289</v>
      </c>
      <c r="B13" s="218">
        <f>'資產機關'!B13</f>
        <v>2457497</v>
      </c>
      <c r="C13" s="219">
        <f t="shared" si="3"/>
        <v>0.013080000118987429</v>
      </c>
      <c r="D13" s="218">
        <v>198265</v>
      </c>
      <c r="E13" s="219">
        <f t="shared" si="0"/>
        <v>0.00114526029946055</v>
      </c>
      <c r="F13" s="227" t="s">
        <v>340</v>
      </c>
      <c r="G13" s="360">
        <f>'資產機關'!B38</f>
        <v>442783858</v>
      </c>
      <c r="H13" s="361">
        <f t="shared" si="1"/>
        <v>2.356712099882813</v>
      </c>
      <c r="I13" s="242">
        <v>524175436</v>
      </c>
      <c r="J13" s="362">
        <f t="shared" si="2"/>
        <v>3.027853210618235</v>
      </c>
    </row>
    <row r="14" spans="1:10" ht="25.5" customHeight="1">
      <c r="A14" s="364" t="s">
        <v>290</v>
      </c>
      <c r="B14" s="248">
        <f>B15</f>
        <v>0</v>
      </c>
      <c r="C14" s="248">
        <f t="shared" si="3"/>
        <v>0</v>
      </c>
      <c r="D14" s="248">
        <f>D15</f>
        <v>0</v>
      </c>
      <c r="E14" s="248">
        <f t="shared" si="0"/>
        <v>0</v>
      </c>
      <c r="F14" s="355" t="s">
        <v>324</v>
      </c>
      <c r="G14" s="356">
        <f>SUM(G15:G18)</f>
        <v>3785943997</v>
      </c>
      <c r="H14" s="357">
        <f t="shared" si="1"/>
        <v>20.15064430647921</v>
      </c>
      <c r="I14" s="358">
        <f>SUM(I15:I18)</f>
        <v>3777807524</v>
      </c>
      <c r="J14" s="359">
        <f t="shared" si="2"/>
        <v>21.8221722252569</v>
      </c>
    </row>
    <row r="15" spans="1:10" ht="22.5" customHeight="1">
      <c r="A15" s="227" t="s">
        <v>291</v>
      </c>
      <c r="B15" s="248">
        <f>'資產機關'!B15</f>
        <v>0</v>
      </c>
      <c r="C15" s="248">
        <f t="shared" si="3"/>
        <v>0</v>
      </c>
      <c r="D15" s="248">
        <f>'資產機關'!D15</f>
        <v>0</v>
      </c>
      <c r="E15" s="248">
        <f t="shared" si="0"/>
        <v>0</v>
      </c>
      <c r="F15" s="365" t="s">
        <v>341</v>
      </c>
      <c r="G15" s="248">
        <f>'資產機關'!B40</f>
        <v>0</v>
      </c>
      <c r="H15" s="248">
        <f t="shared" si="1"/>
        <v>0</v>
      </c>
      <c r="I15" s="242">
        <v>0</v>
      </c>
      <c r="J15" s="201">
        <f t="shared" si="2"/>
        <v>0</v>
      </c>
    </row>
    <row r="16" spans="1:10" ht="22.5" customHeight="1">
      <c r="A16" s="251" t="s">
        <v>292</v>
      </c>
      <c r="B16" s="224">
        <f>SUM(B17:B24)</f>
        <v>7114402822</v>
      </c>
      <c r="C16" s="222">
        <f t="shared" si="3"/>
        <v>37.86632893480012</v>
      </c>
      <c r="D16" s="224">
        <f>SUM(D17:D24)</f>
        <v>6628834049</v>
      </c>
      <c r="E16" s="222">
        <f t="shared" si="0"/>
        <v>38.290875686742645</v>
      </c>
      <c r="F16" s="227" t="s">
        <v>343</v>
      </c>
      <c r="G16" s="360">
        <f>'資產機關'!B41</f>
        <v>2766040980</v>
      </c>
      <c r="H16" s="361">
        <f t="shared" si="1"/>
        <v>14.722221979324534</v>
      </c>
      <c r="I16" s="242">
        <v>2672051512</v>
      </c>
      <c r="J16" s="362">
        <f t="shared" si="2"/>
        <v>15.434870071909494</v>
      </c>
    </row>
    <row r="17" spans="1:10" ht="22.5" customHeight="1">
      <c r="A17" s="227" t="s">
        <v>293</v>
      </c>
      <c r="B17" s="218">
        <f>'資產機關'!B17</f>
        <v>396855597</v>
      </c>
      <c r="C17" s="219">
        <f t="shared" si="3"/>
        <v>2.11225944771482</v>
      </c>
      <c r="D17" s="218">
        <v>357046401</v>
      </c>
      <c r="E17" s="219">
        <f t="shared" si="0"/>
        <v>2.062447068976227</v>
      </c>
      <c r="F17" s="366" t="s">
        <v>342</v>
      </c>
      <c r="G17" s="360">
        <f>'資產機關'!B42</f>
        <v>1019903017</v>
      </c>
      <c r="H17" s="361">
        <f t="shared" si="1"/>
        <v>5.428422327154677</v>
      </c>
      <c r="I17" s="242">
        <v>1105756012</v>
      </c>
      <c r="J17" s="362">
        <f t="shared" si="2"/>
        <v>6.387302153347408</v>
      </c>
    </row>
    <row r="18" spans="1:10" ht="22.5" customHeight="1">
      <c r="A18" s="227" t="s">
        <v>294</v>
      </c>
      <c r="B18" s="218">
        <f>'資產機關'!B18</f>
        <v>49541817</v>
      </c>
      <c r="C18" s="219">
        <f t="shared" si="3"/>
        <v>0.26368576330097393</v>
      </c>
      <c r="D18" s="218">
        <v>35683843</v>
      </c>
      <c r="E18" s="219">
        <f t="shared" si="0"/>
        <v>0.20612457428231534</v>
      </c>
      <c r="F18" s="366" t="s">
        <v>468</v>
      </c>
      <c r="G18" s="248">
        <v>0</v>
      </c>
      <c r="H18" s="248">
        <v>0</v>
      </c>
      <c r="I18" s="367">
        <v>0</v>
      </c>
      <c r="J18" s="201">
        <f t="shared" si="2"/>
        <v>0</v>
      </c>
    </row>
    <row r="19" spans="1:10" ht="22.5" customHeight="1">
      <c r="A19" s="227" t="s">
        <v>295</v>
      </c>
      <c r="B19" s="218">
        <f>'資產機關'!B19</f>
        <v>2622512223</v>
      </c>
      <c r="C19" s="219">
        <f t="shared" si="3"/>
        <v>13.95829178586423</v>
      </c>
      <c r="D19" s="218">
        <v>2176101959</v>
      </c>
      <c r="E19" s="219">
        <f t="shared" si="0"/>
        <v>12.570061186901519</v>
      </c>
      <c r="F19" s="368" t="s">
        <v>142</v>
      </c>
      <c r="G19" s="356">
        <f>G20+G22+G24+G28</f>
        <v>12056008096</v>
      </c>
      <c r="H19" s="357">
        <f>G19/B$7*100</f>
        <v>64.16796737908263</v>
      </c>
      <c r="I19" s="358">
        <f>I20+I22+I24+I28</f>
        <v>11352083850</v>
      </c>
      <c r="J19" s="359">
        <f>I19/D$7*100</f>
        <v>65.57431190352445</v>
      </c>
    </row>
    <row r="20" spans="1:10" ht="22.5" customHeight="1">
      <c r="A20" s="227" t="s">
        <v>296</v>
      </c>
      <c r="B20" s="218">
        <f>'資產機關'!B20</f>
        <v>2762678049</v>
      </c>
      <c r="C20" s="219">
        <f t="shared" si="3"/>
        <v>14.704322816932821</v>
      </c>
      <c r="D20" s="218">
        <v>2887420177</v>
      </c>
      <c r="E20" s="219">
        <f t="shared" si="0"/>
        <v>16.67892818490129</v>
      </c>
      <c r="F20" s="355" t="s">
        <v>325</v>
      </c>
      <c r="G20" s="356">
        <f>G21</f>
        <v>5788665288</v>
      </c>
      <c r="H20" s="357">
        <f>G20/B$7*100</f>
        <v>30.810105833626007</v>
      </c>
      <c r="I20" s="358">
        <f>SUM(I21)</f>
        <v>5688665288</v>
      </c>
      <c r="J20" s="359">
        <f>I20/D$7*100</f>
        <v>32.86007369563824</v>
      </c>
    </row>
    <row r="21" spans="1:10" ht="22.5" customHeight="1">
      <c r="A21" s="369" t="s">
        <v>297</v>
      </c>
      <c r="B21" s="218">
        <f>'資產機關'!B21</f>
        <v>219375491</v>
      </c>
      <c r="C21" s="219">
        <f t="shared" si="3"/>
        <v>1.167623581385013</v>
      </c>
      <c r="D21" s="218">
        <v>235843949</v>
      </c>
      <c r="E21" s="219">
        <f t="shared" si="0"/>
        <v>1.3623317865366995</v>
      </c>
      <c r="F21" s="227" t="s">
        <v>344</v>
      </c>
      <c r="G21" s="360">
        <f>'資產機關'!B45</f>
        <v>5788665288</v>
      </c>
      <c r="H21" s="361">
        <f>G21/B$7*100</f>
        <v>30.810105833626007</v>
      </c>
      <c r="I21" s="242">
        <v>5688665288</v>
      </c>
      <c r="J21" s="362">
        <f>I21/D$7*100</f>
        <v>32.86007369563824</v>
      </c>
    </row>
    <row r="22" spans="1:10" ht="22.5" customHeight="1">
      <c r="A22" s="227" t="s">
        <v>298</v>
      </c>
      <c r="B22" s="218">
        <f>'資產機關'!B22</f>
        <v>81681814</v>
      </c>
      <c r="C22" s="219">
        <f t="shared" si="3"/>
        <v>0.4347505355404744</v>
      </c>
      <c r="D22" s="218">
        <v>66629769</v>
      </c>
      <c r="E22" s="219">
        <f t="shared" si="0"/>
        <v>0.3848809885654416</v>
      </c>
      <c r="F22" s="355" t="s">
        <v>326</v>
      </c>
      <c r="G22" s="356">
        <f>G23</f>
        <v>1481848908</v>
      </c>
      <c r="H22" s="357">
        <f>G22/B$7*100</f>
        <v>7.887124131977126</v>
      </c>
      <c r="I22" s="358">
        <f>SUM(I23)</f>
        <v>1081848908</v>
      </c>
      <c r="J22" s="359">
        <f>I22/D$7*100</f>
        <v>6.249204874017851</v>
      </c>
    </row>
    <row r="23" spans="1:10" ht="22.5" customHeight="1">
      <c r="A23" s="227" t="s">
        <v>484</v>
      </c>
      <c r="B23" s="218">
        <f>'資產機關'!B23</f>
        <v>1947997</v>
      </c>
      <c r="C23" s="219">
        <f t="shared" si="3"/>
        <v>0.010368192104318807</v>
      </c>
      <c r="D23" s="218">
        <v>505534</v>
      </c>
      <c r="E23" s="219">
        <f t="shared" si="0"/>
        <v>0.0029201725984288186</v>
      </c>
      <c r="F23" s="227" t="s">
        <v>345</v>
      </c>
      <c r="G23" s="360">
        <f>'資產機關'!B47</f>
        <v>1481848908</v>
      </c>
      <c r="H23" s="361">
        <f aca="true" t="shared" si="4" ref="H23:H30">G23/B$7*100</f>
        <v>7.887124131977126</v>
      </c>
      <c r="I23" s="242">
        <v>1081848908</v>
      </c>
      <c r="J23" s="362">
        <f aca="true" t="shared" si="5" ref="J23:J30">I23/D$7*100</f>
        <v>6.249204874017851</v>
      </c>
    </row>
    <row r="24" spans="1:10" ht="22.5" customHeight="1">
      <c r="A24" s="370" t="s">
        <v>299</v>
      </c>
      <c r="B24" s="218">
        <f>'資產機關'!B24</f>
        <v>979809834</v>
      </c>
      <c r="C24" s="219">
        <f t="shared" si="3"/>
        <v>5.215026811957473</v>
      </c>
      <c r="D24" s="218">
        <v>869602417</v>
      </c>
      <c r="E24" s="219">
        <f t="shared" si="0"/>
        <v>5.0231817239807235</v>
      </c>
      <c r="F24" s="355" t="s">
        <v>327</v>
      </c>
      <c r="G24" s="356">
        <f>G25+G26+G27</f>
        <v>4586685284</v>
      </c>
      <c r="H24" s="357">
        <f t="shared" si="4"/>
        <v>24.412580792765116</v>
      </c>
      <c r="I24" s="358">
        <f>I25+I26+I27</f>
        <v>4377285058</v>
      </c>
      <c r="J24" s="359">
        <f t="shared" si="5"/>
        <v>25.285001368619124</v>
      </c>
    </row>
    <row r="25" spans="1:10" ht="22.5" customHeight="1">
      <c r="A25" s="251" t="s">
        <v>300</v>
      </c>
      <c r="B25" s="224">
        <f>B26</f>
        <v>18165516</v>
      </c>
      <c r="C25" s="222">
        <f t="shared" si="3"/>
        <v>0.09668575442471264</v>
      </c>
      <c r="D25" s="224">
        <f>D26</f>
        <v>18028413</v>
      </c>
      <c r="E25" s="222">
        <f t="shared" si="0"/>
        <v>0.10413953885546351</v>
      </c>
      <c r="F25" s="369" t="s">
        <v>346</v>
      </c>
      <c r="G25" s="360">
        <f>'資產機關'!B49</f>
        <v>2533298362</v>
      </c>
      <c r="H25" s="361">
        <f t="shared" si="4"/>
        <v>13.483452014952881</v>
      </c>
      <c r="I25" s="242">
        <v>3160204414</v>
      </c>
      <c r="J25" s="362">
        <f t="shared" si="5"/>
        <v>18.254642289532658</v>
      </c>
    </row>
    <row r="26" spans="1:10" ht="22.5" customHeight="1">
      <c r="A26" s="227" t="s">
        <v>301</v>
      </c>
      <c r="B26" s="218">
        <f>'資產機關'!B26</f>
        <v>18165516</v>
      </c>
      <c r="C26" s="219">
        <f t="shared" si="3"/>
        <v>0.09668575442471264</v>
      </c>
      <c r="D26" s="218">
        <v>18028413</v>
      </c>
      <c r="E26" s="219">
        <f t="shared" si="0"/>
        <v>0.10413953885546351</v>
      </c>
      <c r="F26" s="369" t="s">
        <v>347</v>
      </c>
      <c r="G26" s="218">
        <f>'資產機關'!B50</f>
        <v>2642802352</v>
      </c>
      <c r="H26" s="362">
        <f t="shared" si="4"/>
        <v>14.066285769065134</v>
      </c>
      <c r="I26" s="242">
        <v>1771597355</v>
      </c>
      <c r="J26" s="362">
        <f t="shared" si="5"/>
        <v>10.233475990774057</v>
      </c>
    </row>
    <row r="27" spans="1:10" ht="22.5" customHeight="1">
      <c r="A27" s="251" t="s">
        <v>302</v>
      </c>
      <c r="B27" s="224">
        <f>SUM(B28:B30)</f>
        <v>2297554398</v>
      </c>
      <c r="C27" s="222">
        <f t="shared" si="3"/>
        <v>12.22870742028173</v>
      </c>
      <c r="D27" s="224">
        <f>SUM(D28:D30)</f>
        <v>2318241340</v>
      </c>
      <c r="E27" s="222">
        <f t="shared" si="0"/>
        <v>13.391116794543803</v>
      </c>
      <c r="F27" s="227" t="s">
        <v>348</v>
      </c>
      <c r="G27" s="218">
        <f>'資產機關'!B51</f>
        <v>-589415430</v>
      </c>
      <c r="H27" s="219">
        <f t="shared" si="4"/>
        <v>-3.1371569912529</v>
      </c>
      <c r="I27" s="302">
        <v>-554516711</v>
      </c>
      <c r="J27" s="362">
        <f t="shared" si="5"/>
        <v>-3.203116911687586</v>
      </c>
    </row>
    <row r="28" spans="1:10" ht="30.75" customHeight="1">
      <c r="A28" s="227" t="s">
        <v>303</v>
      </c>
      <c r="B28" s="248">
        <f>'資產機關'!B28</f>
        <v>0</v>
      </c>
      <c r="C28" s="248">
        <f t="shared" si="3"/>
        <v>0</v>
      </c>
      <c r="D28" s="248">
        <f>'資產機關'!D28</f>
        <v>0</v>
      </c>
      <c r="E28" s="248">
        <f t="shared" si="0"/>
        <v>0</v>
      </c>
      <c r="F28" s="371" t="s">
        <v>310</v>
      </c>
      <c r="G28" s="356">
        <f>SUM(G29:G30)</f>
        <v>198808616</v>
      </c>
      <c r="H28" s="357">
        <f t="shared" si="4"/>
        <v>1.0581566207143798</v>
      </c>
      <c r="I28" s="358">
        <f>SUM(I29:I30)</f>
        <v>204284596</v>
      </c>
      <c r="J28" s="359">
        <f t="shared" si="5"/>
        <v>1.1800319652492244</v>
      </c>
    </row>
    <row r="29" spans="1:10" ht="22.5" customHeight="1">
      <c r="A29" s="227" t="s">
        <v>304</v>
      </c>
      <c r="B29" s="218">
        <f>'資產機關'!B29</f>
        <v>2216571451</v>
      </c>
      <c r="C29" s="219">
        <f t="shared" si="3"/>
        <v>11.797676596481761</v>
      </c>
      <c r="D29" s="218">
        <v>2225756829</v>
      </c>
      <c r="E29" s="219">
        <f t="shared" si="0"/>
        <v>12.856888167386602</v>
      </c>
      <c r="F29" s="369" t="s">
        <v>349</v>
      </c>
      <c r="G29" s="218">
        <f>'資產機關'!B53</f>
        <v>-7580208</v>
      </c>
      <c r="H29" s="219">
        <f t="shared" si="4"/>
        <v>-0.04034557175123691</v>
      </c>
      <c r="I29" s="242">
        <v>-2104228</v>
      </c>
      <c r="J29" s="362">
        <f t="shared" si="5"/>
        <v>-0.012154887596970088</v>
      </c>
    </row>
    <row r="30" spans="1:10" ht="22.5" customHeight="1">
      <c r="A30" s="227" t="s">
        <v>305</v>
      </c>
      <c r="B30" s="218">
        <f>'資產機關'!B30</f>
        <v>80982947</v>
      </c>
      <c r="C30" s="219">
        <f t="shared" si="3"/>
        <v>0.4310308237999691</v>
      </c>
      <c r="D30" s="218">
        <v>92484511</v>
      </c>
      <c r="E30" s="219">
        <f t="shared" si="0"/>
        <v>0.5342286271572014</v>
      </c>
      <c r="F30" s="369" t="s">
        <v>371</v>
      </c>
      <c r="G30" s="248">
        <f>'資產機關'!B54</f>
        <v>206388824</v>
      </c>
      <c r="H30" s="372">
        <f t="shared" si="4"/>
        <v>1.0985021924656166</v>
      </c>
      <c r="I30" s="242">
        <v>206388824</v>
      </c>
      <c r="J30" s="362">
        <f t="shared" si="5"/>
        <v>1.1921868528461947</v>
      </c>
    </row>
    <row r="31" spans="1:10" ht="28.5" customHeight="1">
      <c r="A31" s="341" t="s">
        <v>312</v>
      </c>
      <c r="B31" s="255">
        <f>B8+B14+B16+B25+B27</f>
        <v>18788203193</v>
      </c>
      <c r="C31" s="373">
        <f t="shared" si="3"/>
        <v>100</v>
      </c>
      <c r="D31" s="255">
        <f>D8+D14+D16+D25+D27</f>
        <v>17311784936</v>
      </c>
      <c r="E31" s="373">
        <f t="shared" si="0"/>
        <v>100</v>
      </c>
      <c r="F31" s="374" t="s">
        <v>372</v>
      </c>
      <c r="G31" s="375">
        <f>G7+G19</f>
        <v>18788203193</v>
      </c>
      <c r="H31" s="376">
        <f>G31/B$7*100</f>
        <v>100</v>
      </c>
      <c r="I31" s="377">
        <f>I7+I19</f>
        <v>17311784936</v>
      </c>
      <c r="J31" s="378">
        <v>100</v>
      </c>
    </row>
    <row r="32" spans="1:10" ht="24.75" customHeight="1">
      <c r="A32" s="642" t="s">
        <v>901</v>
      </c>
      <c r="B32" s="643"/>
      <c r="C32" s="643"/>
      <c r="D32" s="643"/>
      <c r="E32" s="643"/>
      <c r="F32" s="643"/>
      <c r="G32" s="643"/>
      <c r="H32" s="643"/>
      <c r="I32" s="643"/>
      <c r="J32" s="643"/>
    </row>
    <row r="33" spans="1:10" ht="23.25" customHeight="1">
      <c r="A33" s="644"/>
      <c r="B33" s="644"/>
      <c r="C33" s="644"/>
      <c r="D33" s="644"/>
      <c r="E33" s="644"/>
      <c r="F33" s="644"/>
      <c r="G33" s="644"/>
      <c r="H33" s="644"/>
      <c r="I33" s="644"/>
      <c r="J33" s="644"/>
    </row>
    <row r="34" spans="1:10" ht="16.5">
      <c r="A34" s="235"/>
      <c r="B34" s="235"/>
      <c r="C34" s="235"/>
      <c r="D34" s="235"/>
      <c r="E34" s="235"/>
      <c r="F34" s="235"/>
      <c r="G34" s="235"/>
      <c r="H34" s="235"/>
      <c r="I34" s="235"/>
      <c r="J34" s="235"/>
    </row>
    <row r="37" ht="16.5">
      <c r="F37" s="199" t="s">
        <v>433</v>
      </c>
    </row>
  </sheetData>
  <sheetProtection/>
  <mergeCells count="12">
    <mergeCell ref="F4:F6"/>
    <mergeCell ref="I3:J3"/>
    <mergeCell ref="C2:H2"/>
    <mergeCell ref="B3:H3"/>
    <mergeCell ref="A32:J33"/>
    <mergeCell ref="A1:J1"/>
    <mergeCell ref="I4:J5"/>
    <mergeCell ref="I2:J2"/>
    <mergeCell ref="A4:A6"/>
    <mergeCell ref="B4:C5"/>
    <mergeCell ref="D4:E5"/>
    <mergeCell ref="G4:H5"/>
  </mergeCells>
  <printOptions horizontalCentered="1" verticalCentered="1"/>
  <pageMargins left="0.7874015748031497" right="0.5905511811023623" top="0.5905511811023623" bottom="0.5905511811023623" header="0" footer="0.31496062992125984"/>
  <pageSetup firstPageNumber="33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12" sqref="N12"/>
    </sheetView>
  </sheetViews>
  <sheetFormatPr defaultColWidth="8.75390625" defaultRowHeight="16.5"/>
  <cols>
    <col min="1" max="1" width="23.625" style="235" customWidth="1"/>
    <col min="2" max="2" width="14.75390625" style="235" customWidth="1"/>
    <col min="3" max="3" width="6.625" style="235" customWidth="1"/>
    <col min="4" max="4" width="13.125" style="235" customWidth="1"/>
    <col min="5" max="5" width="6.625" style="235" customWidth="1"/>
    <col min="6" max="6" width="12.875" style="235" customWidth="1"/>
    <col min="7" max="7" width="6.625" style="235" customWidth="1"/>
    <col min="8" max="8" width="14.375" style="235" customWidth="1"/>
    <col min="9" max="9" width="6.625" style="235" customWidth="1"/>
    <col min="10" max="10" width="14.375" style="235" customWidth="1"/>
    <col min="11" max="11" width="6.625" style="235" customWidth="1"/>
    <col min="12" max="12" width="14.50390625" style="235" customWidth="1"/>
    <col min="13" max="13" width="6.625" style="235" customWidth="1"/>
    <col min="14" max="14" width="14.375" style="235" customWidth="1"/>
    <col min="15" max="15" width="6.625" style="235" customWidth="1"/>
    <col min="16" max="16384" width="8.75390625" style="235" customWidth="1"/>
  </cols>
  <sheetData>
    <row r="1" spans="6:9" ht="26.25" customHeight="1">
      <c r="F1" s="278"/>
      <c r="G1" s="279" t="s">
        <v>415</v>
      </c>
      <c r="H1" s="280" t="s">
        <v>414</v>
      </c>
      <c r="I1" s="281"/>
    </row>
    <row r="2" spans="1:14" ht="26.25" customHeight="1">
      <c r="A2" s="310" t="s">
        <v>205</v>
      </c>
      <c r="B2" s="284"/>
      <c r="C2" s="284"/>
      <c r="D2" s="284"/>
      <c r="E2" s="284"/>
      <c r="F2" s="233"/>
      <c r="G2" s="286" t="s">
        <v>431</v>
      </c>
      <c r="H2" s="287" t="s">
        <v>432</v>
      </c>
      <c r="I2" s="379"/>
      <c r="J2" s="284"/>
      <c r="K2" s="284"/>
      <c r="L2" s="284"/>
      <c r="M2" s="284"/>
      <c r="N2" s="288" t="s">
        <v>469</v>
      </c>
    </row>
    <row r="3" spans="1:14" ht="26.25" customHeight="1">
      <c r="A3" s="290"/>
      <c r="B3" s="284"/>
      <c r="C3" s="290"/>
      <c r="E3" s="291"/>
      <c r="F3" s="628" t="s">
        <v>427</v>
      </c>
      <c r="G3" s="629"/>
      <c r="H3" s="380" t="s">
        <v>558</v>
      </c>
      <c r="I3" s="381"/>
      <c r="J3" s="295"/>
      <c r="K3" s="295"/>
      <c r="L3" s="290"/>
      <c r="M3" s="290"/>
      <c r="N3" s="199" t="s">
        <v>70</v>
      </c>
    </row>
    <row r="4" spans="1:15" ht="20.25" customHeight="1">
      <c r="A4" s="620" t="s">
        <v>183</v>
      </c>
      <c r="B4" s="621" t="s">
        <v>336</v>
      </c>
      <c r="C4" s="622"/>
      <c r="D4" s="616" t="s">
        <v>207</v>
      </c>
      <c r="E4" s="617"/>
      <c r="F4" s="616" t="s">
        <v>188</v>
      </c>
      <c r="G4" s="617"/>
      <c r="H4" s="618" t="s">
        <v>190</v>
      </c>
      <c r="I4" s="617"/>
      <c r="J4" s="618" t="s">
        <v>900</v>
      </c>
      <c r="K4" s="617"/>
      <c r="L4" s="616" t="s">
        <v>899</v>
      </c>
      <c r="M4" s="617"/>
      <c r="N4" s="618" t="s">
        <v>194</v>
      </c>
      <c r="O4" s="619"/>
    </row>
    <row r="5" spans="1:15" ht="20.25" customHeight="1">
      <c r="A5" s="620"/>
      <c r="B5" s="623"/>
      <c r="C5" s="624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9"/>
      <c r="O5" s="619"/>
    </row>
    <row r="6" spans="1:15" ht="20.25" customHeight="1">
      <c r="A6" s="620"/>
      <c r="B6" s="297" t="s">
        <v>184</v>
      </c>
      <c r="C6" s="297" t="s">
        <v>8</v>
      </c>
      <c r="D6" s="297" t="s">
        <v>184</v>
      </c>
      <c r="E6" s="297" t="s">
        <v>8</v>
      </c>
      <c r="F6" s="297" t="s">
        <v>184</v>
      </c>
      <c r="G6" s="297" t="s">
        <v>8</v>
      </c>
      <c r="H6" s="297" t="s">
        <v>184</v>
      </c>
      <c r="I6" s="297" t="s">
        <v>8</v>
      </c>
      <c r="J6" s="297" t="s">
        <v>184</v>
      </c>
      <c r="K6" s="297" t="s">
        <v>8</v>
      </c>
      <c r="L6" s="297" t="s">
        <v>184</v>
      </c>
      <c r="M6" s="297" t="s">
        <v>8</v>
      </c>
      <c r="N6" s="297" t="s">
        <v>184</v>
      </c>
      <c r="O6" s="297" t="s">
        <v>8</v>
      </c>
    </row>
    <row r="7" spans="1:15" ht="25.5" customHeight="1">
      <c r="A7" s="246" t="s">
        <v>185</v>
      </c>
      <c r="B7" s="305">
        <f>D7+F7+H7+J7+L7+N7</f>
        <v>18788203193</v>
      </c>
      <c r="C7" s="299">
        <f>B7/B$7*100</f>
        <v>100</v>
      </c>
      <c r="D7" s="305">
        <f>D8+D16+D27+D25</f>
        <v>13001243702</v>
      </c>
      <c r="E7" s="299">
        <f>D7/D$7*100</f>
        <v>100</v>
      </c>
      <c r="F7" s="305">
        <f>F8+F16+F27+F25</f>
        <v>367406612</v>
      </c>
      <c r="G7" s="299">
        <f aca="true" t="shared" si="0" ref="G7:G31">F7/F$7*100</f>
        <v>100</v>
      </c>
      <c r="H7" s="305">
        <f>H8+H16+H27+H25</f>
        <v>168452154</v>
      </c>
      <c r="I7" s="299">
        <f aca="true" t="shared" si="1" ref="I7:I31">H7/H$7*100</f>
        <v>100</v>
      </c>
      <c r="J7" s="305">
        <f>J8+J16+J27+J25</f>
        <v>446822444</v>
      </c>
      <c r="K7" s="299">
        <f aca="true" t="shared" si="2" ref="K7:K31">J7/J$7*100</f>
        <v>100</v>
      </c>
      <c r="L7" s="305">
        <f>L8+L16+L27+L25</f>
        <v>118466742</v>
      </c>
      <c r="M7" s="299">
        <f aca="true" t="shared" si="3" ref="M7:M24">L7/L$7*100</f>
        <v>100</v>
      </c>
      <c r="N7" s="305">
        <f>N8+N16+N27+N25</f>
        <v>4685811539</v>
      </c>
      <c r="O7" s="299">
        <f aca="true" t="shared" si="4" ref="O7:O31">N7/N$7*100</f>
        <v>100</v>
      </c>
    </row>
    <row r="8" spans="1:15" ht="25.5" customHeight="1">
      <c r="A8" s="382" t="s">
        <v>851</v>
      </c>
      <c r="B8" s="305">
        <f>SUM(B9:B13)</f>
        <v>9358080457</v>
      </c>
      <c r="C8" s="245">
        <f aca="true" t="shared" si="5" ref="C8:E24">B8/B$7*100</f>
        <v>49.80827789049343</v>
      </c>
      <c r="D8" s="305">
        <f>SUM(D9:D13)</f>
        <v>8314309532</v>
      </c>
      <c r="E8" s="245">
        <f t="shared" si="5"/>
        <v>63.95010910164692</v>
      </c>
      <c r="F8" s="305">
        <f>SUM(F9:F13)</f>
        <v>281724715</v>
      </c>
      <c r="G8" s="245">
        <f t="shared" si="0"/>
        <v>76.67927190161727</v>
      </c>
      <c r="H8" s="305">
        <f>SUM(H9:H13)</f>
        <v>144521532</v>
      </c>
      <c r="I8" s="245">
        <f t="shared" si="1"/>
        <v>85.79381656348544</v>
      </c>
      <c r="J8" s="305">
        <f>SUM(J9:J13)</f>
        <v>139392822</v>
      </c>
      <c r="K8" s="245">
        <f t="shared" si="2"/>
        <v>31.196468277676757</v>
      </c>
      <c r="L8" s="306">
        <f>SUM(L9:L13)</f>
        <v>84600228</v>
      </c>
      <c r="M8" s="245">
        <f t="shared" si="3"/>
        <v>71.41264001334653</v>
      </c>
      <c r="N8" s="305">
        <f>SUM(N9:N13)</f>
        <v>393531628</v>
      </c>
      <c r="O8" s="245">
        <f t="shared" si="4"/>
        <v>8.398366531061633</v>
      </c>
    </row>
    <row r="9" spans="1:15" ht="25.5" customHeight="1">
      <c r="A9" s="383" t="s">
        <v>852</v>
      </c>
      <c r="B9" s="242">
        <f aca="true" t="shared" si="6" ref="B9:B54">D9+F9+H9+J9+L9+N9</f>
        <v>1778522417</v>
      </c>
      <c r="C9" s="243">
        <f t="shared" si="5"/>
        <v>9.466165544040058</v>
      </c>
      <c r="D9" s="242">
        <v>1080981521</v>
      </c>
      <c r="E9" s="243">
        <f t="shared" si="5"/>
        <v>8.314447031199878</v>
      </c>
      <c r="F9" s="242">
        <v>171154184</v>
      </c>
      <c r="G9" s="243">
        <f t="shared" si="0"/>
        <v>46.58440496438317</v>
      </c>
      <c r="H9" s="242">
        <v>137819169</v>
      </c>
      <c r="I9" s="243">
        <f t="shared" si="1"/>
        <v>81.81502327361156</v>
      </c>
      <c r="J9" s="242">
        <v>94278958</v>
      </c>
      <c r="K9" s="243">
        <f t="shared" si="2"/>
        <v>21.099870712850763</v>
      </c>
      <c r="L9" s="242">
        <v>80118293</v>
      </c>
      <c r="M9" s="243">
        <f t="shared" si="3"/>
        <v>67.62935457446783</v>
      </c>
      <c r="N9" s="242">
        <v>214170292</v>
      </c>
      <c r="O9" s="243">
        <f t="shared" si="4"/>
        <v>4.57061258690114</v>
      </c>
    </row>
    <row r="10" spans="1:15" ht="25.5" customHeight="1">
      <c r="A10" s="383" t="s">
        <v>853</v>
      </c>
      <c r="B10" s="242">
        <f t="shared" si="6"/>
        <v>452696422</v>
      </c>
      <c r="C10" s="243">
        <f t="shared" si="5"/>
        <v>2.409471610189222</v>
      </c>
      <c r="D10" s="242">
        <v>215081576</v>
      </c>
      <c r="E10" s="243">
        <f t="shared" si="5"/>
        <v>1.6543153942027384</v>
      </c>
      <c r="F10" s="242">
        <v>67888969</v>
      </c>
      <c r="G10" s="243">
        <f t="shared" si="0"/>
        <v>18.477884388210196</v>
      </c>
      <c r="H10" s="242">
        <v>2124818</v>
      </c>
      <c r="I10" s="243">
        <f t="shared" si="1"/>
        <v>1.2613777559650559</v>
      </c>
      <c r="J10" s="242">
        <v>16594979</v>
      </c>
      <c r="K10" s="243">
        <f t="shared" si="2"/>
        <v>3.7139985295814726</v>
      </c>
      <c r="L10" s="242">
        <v>1429236</v>
      </c>
      <c r="M10" s="243">
        <f t="shared" si="3"/>
        <v>1.2064449278093592</v>
      </c>
      <c r="N10" s="242">
        <v>149576844</v>
      </c>
      <c r="O10" s="243">
        <f t="shared" si="4"/>
        <v>3.1921224905242607</v>
      </c>
    </row>
    <row r="11" spans="1:15" ht="25.5" customHeight="1">
      <c r="A11" s="383" t="s">
        <v>854</v>
      </c>
      <c r="B11" s="242">
        <f t="shared" si="6"/>
        <v>7049896665</v>
      </c>
      <c r="C11" s="243">
        <f t="shared" si="5"/>
        <v>37.52299564029949</v>
      </c>
      <c r="D11" s="242">
        <v>6952940337</v>
      </c>
      <c r="E11" s="243">
        <f t="shared" si="5"/>
        <v>53.47904013160233</v>
      </c>
      <c r="F11" s="242">
        <v>42611956</v>
      </c>
      <c r="G11" s="243">
        <f t="shared" si="0"/>
        <v>11.59803732655742</v>
      </c>
      <c r="H11" s="242">
        <v>4577545</v>
      </c>
      <c r="I11" s="243">
        <f t="shared" si="1"/>
        <v>2.7174155339088157</v>
      </c>
      <c r="J11" s="242">
        <v>20244275</v>
      </c>
      <c r="K11" s="243">
        <f t="shared" si="2"/>
        <v>4.530720260775442</v>
      </c>
      <c r="L11" s="242">
        <v>2375359</v>
      </c>
      <c r="M11" s="243">
        <f t="shared" si="3"/>
        <v>2.0050851065018738</v>
      </c>
      <c r="N11" s="242">
        <v>27147193</v>
      </c>
      <c r="O11" s="243">
        <f t="shared" si="4"/>
        <v>0.5793488016761658</v>
      </c>
    </row>
    <row r="12" spans="1:15" ht="25.5" customHeight="1">
      <c r="A12" s="383" t="s">
        <v>855</v>
      </c>
      <c r="B12" s="242">
        <f t="shared" si="6"/>
        <v>74507456</v>
      </c>
      <c r="C12" s="243">
        <f t="shared" si="5"/>
        <v>0.3965650958456717</v>
      </c>
      <c r="D12" s="242">
        <v>65306098</v>
      </c>
      <c r="E12" s="243">
        <f t="shared" si="5"/>
        <v>0.5023065446419858</v>
      </c>
      <c r="F12" s="242">
        <v>69606</v>
      </c>
      <c r="G12" s="243">
        <f t="shared" si="0"/>
        <v>0.0189452224664917</v>
      </c>
      <c r="H12" s="242">
        <v>0</v>
      </c>
      <c r="I12" s="243">
        <f t="shared" si="1"/>
        <v>0</v>
      </c>
      <c r="J12" s="242">
        <v>8274610</v>
      </c>
      <c r="K12" s="243">
        <f t="shared" si="2"/>
        <v>1.851878774469082</v>
      </c>
      <c r="L12" s="242">
        <v>677340</v>
      </c>
      <c r="M12" s="243">
        <f t="shared" si="3"/>
        <v>0.5717554045674692</v>
      </c>
      <c r="N12" s="242">
        <v>179802</v>
      </c>
      <c r="O12" s="243">
        <f t="shared" si="4"/>
        <v>0.003837158163607484</v>
      </c>
    </row>
    <row r="13" spans="1:15" ht="25.5" customHeight="1">
      <c r="A13" s="383" t="s">
        <v>856</v>
      </c>
      <c r="B13" s="242">
        <f t="shared" si="6"/>
        <v>2457497</v>
      </c>
      <c r="C13" s="243">
        <f t="shared" si="5"/>
        <v>0.013080000118987429</v>
      </c>
      <c r="D13" s="242">
        <v>0</v>
      </c>
      <c r="E13" s="243">
        <f t="shared" si="5"/>
        <v>0</v>
      </c>
      <c r="F13" s="242">
        <v>0</v>
      </c>
      <c r="G13" s="243">
        <f t="shared" si="0"/>
        <v>0</v>
      </c>
      <c r="H13" s="242">
        <v>0</v>
      </c>
      <c r="I13" s="243">
        <f t="shared" si="1"/>
        <v>0</v>
      </c>
      <c r="J13" s="242">
        <v>0</v>
      </c>
      <c r="K13" s="243">
        <f t="shared" si="2"/>
        <v>0</v>
      </c>
      <c r="L13" s="242">
        <v>0</v>
      </c>
      <c r="M13" s="243">
        <f t="shared" si="3"/>
        <v>0</v>
      </c>
      <c r="N13" s="242">
        <v>2457497</v>
      </c>
      <c r="O13" s="243">
        <f t="shared" si="4"/>
        <v>0.052445493796458895</v>
      </c>
    </row>
    <row r="14" spans="1:15" ht="21.75" customHeight="1">
      <c r="A14" s="384" t="s">
        <v>857</v>
      </c>
      <c r="B14" s="305">
        <f>SUM(B15)</f>
        <v>0</v>
      </c>
      <c r="C14" s="245">
        <f t="shared" si="5"/>
        <v>0</v>
      </c>
      <c r="D14" s="305">
        <f>D15</f>
        <v>0</v>
      </c>
      <c r="E14" s="245">
        <f>D14/D$7*100</f>
        <v>0</v>
      </c>
      <c r="F14" s="305">
        <f>F15</f>
        <v>0</v>
      </c>
      <c r="G14" s="245">
        <f t="shared" si="0"/>
        <v>0</v>
      </c>
      <c r="H14" s="305">
        <f>H15</f>
        <v>0</v>
      </c>
      <c r="I14" s="245">
        <f t="shared" si="1"/>
        <v>0</v>
      </c>
      <c r="J14" s="305">
        <f>J15</f>
        <v>0</v>
      </c>
      <c r="K14" s="245">
        <f t="shared" si="2"/>
        <v>0</v>
      </c>
      <c r="L14" s="305">
        <f>L15</f>
        <v>0</v>
      </c>
      <c r="M14" s="245">
        <f t="shared" si="3"/>
        <v>0</v>
      </c>
      <c r="N14" s="305">
        <f>N151</f>
        <v>0</v>
      </c>
      <c r="O14" s="245">
        <f t="shared" si="4"/>
        <v>0</v>
      </c>
    </row>
    <row r="15" spans="1:15" ht="21.75" customHeight="1">
      <c r="A15" s="385" t="s">
        <v>256</v>
      </c>
      <c r="B15" s="242">
        <f>SUM(D15+F15+H15+J15+L15+N15)</f>
        <v>0</v>
      </c>
      <c r="C15" s="243">
        <f t="shared" si="5"/>
        <v>0</v>
      </c>
      <c r="D15" s="242">
        <v>0</v>
      </c>
      <c r="E15" s="243">
        <f>D15/D$7*100</f>
        <v>0</v>
      </c>
      <c r="F15" s="242">
        <v>0</v>
      </c>
      <c r="G15" s="243">
        <f t="shared" si="0"/>
        <v>0</v>
      </c>
      <c r="H15" s="242">
        <v>0</v>
      </c>
      <c r="I15" s="243">
        <f t="shared" si="1"/>
        <v>0</v>
      </c>
      <c r="J15" s="242">
        <v>0</v>
      </c>
      <c r="K15" s="243">
        <f t="shared" si="2"/>
        <v>0</v>
      </c>
      <c r="L15" s="242">
        <v>0</v>
      </c>
      <c r="M15" s="243">
        <f t="shared" si="3"/>
        <v>0</v>
      </c>
      <c r="N15" s="242">
        <v>0</v>
      </c>
      <c r="O15" s="243">
        <f t="shared" si="4"/>
        <v>0</v>
      </c>
    </row>
    <row r="16" spans="1:15" ht="25.5" customHeight="1">
      <c r="A16" s="382" t="s">
        <v>858</v>
      </c>
      <c r="B16" s="305">
        <f>SUM(B17:B24)</f>
        <v>7114402822</v>
      </c>
      <c r="C16" s="245">
        <f t="shared" si="5"/>
        <v>37.86632893480012</v>
      </c>
      <c r="D16" s="305">
        <f>SUM(D17:D24)</f>
        <v>4578450574</v>
      </c>
      <c r="E16" s="245">
        <f t="shared" si="5"/>
        <v>35.21548152578426</v>
      </c>
      <c r="F16" s="305">
        <f>SUM(F17:F24)</f>
        <v>84596694</v>
      </c>
      <c r="G16" s="245">
        <f t="shared" si="0"/>
        <v>23.02535970691785</v>
      </c>
      <c r="H16" s="305">
        <f>SUM(H17:H24)</f>
        <v>23843262</v>
      </c>
      <c r="I16" s="245">
        <f t="shared" si="1"/>
        <v>14.154323013287204</v>
      </c>
      <c r="J16" s="305">
        <f>SUM(J17:J24)</f>
        <v>296090580</v>
      </c>
      <c r="K16" s="245">
        <f t="shared" si="2"/>
        <v>66.26582526816848</v>
      </c>
      <c r="L16" s="305">
        <f>SUM(L17:L24)</f>
        <v>32806514</v>
      </c>
      <c r="M16" s="245">
        <f t="shared" si="3"/>
        <v>27.69259409531158</v>
      </c>
      <c r="N16" s="305">
        <f>SUM(N17:N24)</f>
        <v>2098615198</v>
      </c>
      <c r="O16" s="245">
        <f t="shared" si="4"/>
        <v>44.78658991154958</v>
      </c>
    </row>
    <row r="17" spans="1:15" ht="25.5" customHeight="1">
      <c r="A17" s="383" t="s">
        <v>859</v>
      </c>
      <c r="B17" s="242">
        <f t="shared" si="6"/>
        <v>396855597</v>
      </c>
      <c r="C17" s="243">
        <f t="shared" si="5"/>
        <v>2.11225944771482</v>
      </c>
      <c r="D17" s="242">
        <v>270843352</v>
      </c>
      <c r="E17" s="243">
        <f t="shared" si="5"/>
        <v>2.0832111004759937</v>
      </c>
      <c r="F17" s="242">
        <v>31495860</v>
      </c>
      <c r="G17" s="243">
        <f t="shared" si="0"/>
        <v>8.572480453890144</v>
      </c>
      <c r="H17" s="242">
        <v>576160</v>
      </c>
      <c r="I17" s="243">
        <f t="shared" si="1"/>
        <v>0.3420318389042386</v>
      </c>
      <c r="J17" s="242">
        <v>70269238</v>
      </c>
      <c r="K17" s="243">
        <f t="shared" si="2"/>
        <v>15.726434279116026</v>
      </c>
      <c r="L17" s="242">
        <v>0</v>
      </c>
      <c r="M17" s="243">
        <f t="shared" si="3"/>
        <v>0</v>
      </c>
      <c r="N17" s="242">
        <v>23670987</v>
      </c>
      <c r="O17" s="243">
        <f t="shared" si="4"/>
        <v>0.5051630182517248</v>
      </c>
    </row>
    <row r="18" spans="1:15" ht="25.5" customHeight="1">
      <c r="A18" s="383" t="s">
        <v>860</v>
      </c>
      <c r="B18" s="242">
        <f t="shared" si="6"/>
        <v>49541817</v>
      </c>
      <c r="C18" s="243">
        <f t="shared" si="5"/>
        <v>0.26368576330097393</v>
      </c>
      <c r="D18" s="242">
        <v>47623960</v>
      </c>
      <c r="E18" s="243">
        <f t="shared" si="5"/>
        <v>0.36630310985305153</v>
      </c>
      <c r="F18" s="242">
        <v>483360</v>
      </c>
      <c r="G18" s="243">
        <f t="shared" si="0"/>
        <v>0.13155996223606342</v>
      </c>
      <c r="H18" s="242">
        <v>496402</v>
      </c>
      <c r="I18" s="243">
        <f t="shared" si="1"/>
        <v>0.29468426981349255</v>
      </c>
      <c r="J18" s="242">
        <v>938095</v>
      </c>
      <c r="K18" s="243">
        <f t="shared" si="2"/>
        <v>0.20994804817817073</v>
      </c>
      <c r="L18" s="242">
        <v>0</v>
      </c>
      <c r="M18" s="243">
        <f t="shared" si="3"/>
        <v>0</v>
      </c>
      <c r="N18" s="242">
        <v>0</v>
      </c>
      <c r="O18" s="243">
        <f t="shared" si="4"/>
        <v>0</v>
      </c>
    </row>
    <row r="19" spans="1:15" ht="25.5" customHeight="1">
      <c r="A19" s="383" t="s">
        <v>861</v>
      </c>
      <c r="B19" s="242">
        <f t="shared" si="6"/>
        <v>2622512223</v>
      </c>
      <c r="C19" s="243">
        <f t="shared" si="5"/>
        <v>13.95829178586423</v>
      </c>
      <c r="D19" s="242">
        <v>2441630628</v>
      </c>
      <c r="E19" s="243">
        <f t="shared" si="5"/>
        <v>18.779977392658214</v>
      </c>
      <c r="F19" s="242">
        <v>21669392</v>
      </c>
      <c r="G19" s="243">
        <f t="shared" si="0"/>
        <v>5.897931962095446</v>
      </c>
      <c r="H19" s="242">
        <v>10759747</v>
      </c>
      <c r="I19" s="243">
        <f t="shared" si="1"/>
        <v>6.387420252281251</v>
      </c>
      <c r="J19" s="242">
        <v>85995571</v>
      </c>
      <c r="K19" s="243">
        <f t="shared" si="2"/>
        <v>19.246027623446775</v>
      </c>
      <c r="L19" s="242">
        <v>739183</v>
      </c>
      <c r="M19" s="243">
        <f t="shared" si="3"/>
        <v>0.6239582413771453</v>
      </c>
      <c r="N19" s="242">
        <v>61717702</v>
      </c>
      <c r="O19" s="243">
        <f t="shared" si="4"/>
        <v>1.3171187421073958</v>
      </c>
    </row>
    <row r="20" spans="1:15" ht="25.5" customHeight="1">
      <c r="A20" s="383" t="s">
        <v>862</v>
      </c>
      <c r="B20" s="242">
        <f t="shared" si="6"/>
        <v>2762678049</v>
      </c>
      <c r="C20" s="243">
        <f t="shared" si="5"/>
        <v>14.704322816932821</v>
      </c>
      <c r="D20" s="242">
        <v>1157081485</v>
      </c>
      <c r="E20" s="243">
        <f t="shared" si="5"/>
        <v>8.899775371659285</v>
      </c>
      <c r="F20" s="242">
        <v>11374361</v>
      </c>
      <c r="G20" s="243">
        <f t="shared" si="0"/>
        <v>3.095850926057912</v>
      </c>
      <c r="H20" s="242">
        <v>10610197</v>
      </c>
      <c r="I20" s="243">
        <f t="shared" si="1"/>
        <v>6.298641334084692</v>
      </c>
      <c r="J20" s="242">
        <v>17994796</v>
      </c>
      <c r="K20" s="243">
        <f t="shared" si="2"/>
        <v>4.027281136307468</v>
      </c>
      <c r="L20" s="242">
        <v>1487185</v>
      </c>
      <c r="M20" s="243">
        <f t="shared" si="3"/>
        <v>1.255360766146502</v>
      </c>
      <c r="N20" s="242">
        <v>1564130025</v>
      </c>
      <c r="O20" s="243">
        <f t="shared" si="4"/>
        <v>33.380130890492474</v>
      </c>
    </row>
    <row r="21" spans="1:15" ht="25.5" customHeight="1">
      <c r="A21" s="383" t="s">
        <v>863</v>
      </c>
      <c r="B21" s="242">
        <f t="shared" si="6"/>
        <v>219375491</v>
      </c>
      <c r="C21" s="243">
        <f t="shared" si="5"/>
        <v>1.167623581385013</v>
      </c>
      <c r="D21" s="242">
        <v>48766872</v>
      </c>
      <c r="E21" s="243">
        <f t="shared" si="5"/>
        <v>0.3750938996128357</v>
      </c>
      <c r="F21" s="242">
        <v>2746769</v>
      </c>
      <c r="G21" s="243">
        <f t="shared" si="0"/>
        <v>0.7476101164994821</v>
      </c>
      <c r="H21" s="242">
        <v>5654</v>
      </c>
      <c r="I21" s="243">
        <f t="shared" si="1"/>
        <v>0.0033564426846094237</v>
      </c>
      <c r="J21" s="242">
        <v>118893241</v>
      </c>
      <c r="K21" s="243">
        <f t="shared" si="2"/>
        <v>26.60860988442201</v>
      </c>
      <c r="L21" s="242">
        <v>29359204</v>
      </c>
      <c r="M21" s="243">
        <f t="shared" si="3"/>
        <v>24.782655034102312</v>
      </c>
      <c r="N21" s="242">
        <v>19603751</v>
      </c>
      <c r="O21" s="243">
        <f t="shared" si="4"/>
        <v>0.4183640514954137</v>
      </c>
    </row>
    <row r="22" spans="1:15" ht="25.5" customHeight="1">
      <c r="A22" s="383" t="s">
        <v>864</v>
      </c>
      <c r="B22" s="242">
        <f t="shared" si="6"/>
        <v>81681814</v>
      </c>
      <c r="C22" s="243">
        <f t="shared" si="5"/>
        <v>0.4347505355404744</v>
      </c>
      <c r="D22" s="242">
        <v>71463963</v>
      </c>
      <c r="E22" s="243">
        <f t="shared" si="5"/>
        <v>0.5496702056973718</v>
      </c>
      <c r="F22" s="242">
        <v>2435605</v>
      </c>
      <c r="G22" s="243">
        <f t="shared" si="0"/>
        <v>0.6629181186320077</v>
      </c>
      <c r="H22" s="242">
        <v>1395102</v>
      </c>
      <c r="I22" s="243">
        <f t="shared" si="1"/>
        <v>0.8281888755189204</v>
      </c>
      <c r="J22" s="242">
        <v>1999639</v>
      </c>
      <c r="K22" s="243">
        <f t="shared" si="2"/>
        <v>0.4475242966980414</v>
      </c>
      <c r="L22" s="242">
        <v>1220942</v>
      </c>
      <c r="M22" s="243">
        <f t="shared" si="3"/>
        <v>1.0306200536856158</v>
      </c>
      <c r="N22" s="242">
        <v>3166563</v>
      </c>
      <c r="O22" s="243">
        <f t="shared" si="4"/>
        <v>0.06757768582122227</v>
      </c>
    </row>
    <row r="23" spans="1:15" ht="25.5" customHeight="1">
      <c r="A23" s="386" t="s">
        <v>484</v>
      </c>
      <c r="B23" s="242">
        <f t="shared" si="6"/>
        <v>1947997</v>
      </c>
      <c r="C23" s="243">
        <f t="shared" si="5"/>
        <v>0.010368192104318807</v>
      </c>
      <c r="D23" s="242">
        <v>1947997</v>
      </c>
      <c r="E23" s="243">
        <f t="shared" si="5"/>
        <v>0.014983158878102844</v>
      </c>
      <c r="F23" s="242">
        <v>0</v>
      </c>
      <c r="G23" s="243">
        <f t="shared" si="0"/>
        <v>0</v>
      </c>
      <c r="H23" s="242">
        <v>0</v>
      </c>
      <c r="I23" s="243">
        <f t="shared" si="1"/>
        <v>0</v>
      </c>
      <c r="J23" s="242">
        <v>0</v>
      </c>
      <c r="K23" s="243">
        <f t="shared" si="2"/>
        <v>0</v>
      </c>
      <c r="L23" s="242">
        <v>0</v>
      </c>
      <c r="M23" s="243">
        <f t="shared" si="3"/>
        <v>0</v>
      </c>
      <c r="N23" s="242">
        <v>0</v>
      </c>
      <c r="O23" s="243">
        <f t="shared" si="4"/>
        <v>0</v>
      </c>
    </row>
    <row r="24" spans="1:15" ht="25.5" customHeight="1">
      <c r="A24" s="383" t="s">
        <v>865</v>
      </c>
      <c r="B24" s="242">
        <f t="shared" si="6"/>
        <v>979809834</v>
      </c>
      <c r="C24" s="243">
        <f t="shared" si="5"/>
        <v>5.215026811957473</v>
      </c>
      <c r="D24" s="242">
        <v>539092317</v>
      </c>
      <c r="E24" s="243">
        <f t="shared" si="5"/>
        <v>4.146467286949407</v>
      </c>
      <c r="F24" s="242">
        <v>14391347</v>
      </c>
      <c r="G24" s="243">
        <f t="shared" si="0"/>
        <v>3.9170081675067947</v>
      </c>
      <c r="H24" s="242">
        <v>0</v>
      </c>
      <c r="I24" s="243">
        <f t="shared" si="1"/>
        <v>0</v>
      </c>
      <c r="J24" s="242">
        <v>0</v>
      </c>
      <c r="K24" s="243">
        <f t="shared" si="2"/>
        <v>0</v>
      </c>
      <c r="L24" s="242">
        <v>0</v>
      </c>
      <c r="M24" s="243">
        <f t="shared" si="3"/>
        <v>0</v>
      </c>
      <c r="N24" s="242">
        <v>426326170</v>
      </c>
      <c r="O24" s="243">
        <f t="shared" si="4"/>
        <v>9.098235523381343</v>
      </c>
    </row>
    <row r="25" spans="1:15" ht="25.5" customHeight="1">
      <c r="A25" s="382" t="s">
        <v>866</v>
      </c>
      <c r="B25" s="305">
        <f>B26</f>
        <v>18165516</v>
      </c>
      <c r="C25" s="245">
        <f aca="true" t="shared" si="7" ref="C25:E31">B25/B$7*100</f>
        <v>0.09668575442471264</v>
      </c>
      <c r="D25" s="305">
        <f>D26</f>
        <v>6697821</v>
      </c>
      <c r="E25" s="245">
        <f t="shared" si="7"/>
        <v>0.05151677142218067</v>
      </c>
      <c r="F25" s="305">
        <f>SUM(F26)</f>
        <v>23660</v>
      </c>
      <c r="G25" s="245">
        <f t="shared" si="0"/>
        <v>0.006439731683435246</v>
      </c>
      <c r="H25" s="305">
        <f>SUM(H26)</f>
        <v>0</v>
      </c>
      <c r="I25" s="245">
        <f t="shared" si="1"/>
        <v>0</v>
      </c>
      <c r="J25" s="305">
        <f>SUM(J26)</f>
        <v>1107236</v>
      </c>
      <c r="K25" s="245">
        <f t="shared" si="2"/>
        <v>0.24780223439268417</v>
      </c>
      <c r="L25" s="305">
        <f>L26</f>
        <v>960000</v>
      </c>
      <c r="M25" s="245">
        <f aca="true" t="shared" si="8" ref="M25:M30">L25/L$7*100</f>
        <v>0.8103540148002044</v>
      </c>
      <c r="N25" s="305">
        <f>SUM(N26)</f>
        <v>9376799</v>
      </c>
      <c r="O25" s="245">
        <f t="shared" si="4"/>
        <v>0.20011045945738365</v>
      </c>
    </row>
    <row r="26" spans="1:15" ht="25.5" customHeight="1">
      <c r="A26" s="383" t="s">
        <v>867</v>
      </c>
      <c r="B26" s="242">
        <f t="shared" si="6"/>
        <v>18165516</v>
      </c>
      <c r="C26" s="243">
        <f t="shared" si="7"/>
        <v>0.09668575442471264</v>
      </c>
      <c r="D26" s="242">
        <v>6697821</v>
      </c>
      <c r="E26" s="243">
        <f t="shared" si="7"/>
        <v>0.05151677142218067</v>
      </c>
      <c r="F26" s="242">
        <v>23660</v>
      </c>
      <c r="G26" s="243">
        <f t="shared" si="0"/>
        <v>0.006439731683435246</v>
      </c>
      <c r="H26" s="242">
        <v>0</v>
      </c>
      <c r="I26" s="243">
        <f t="shared" si="1"/>
        <v>0</v>
      </c>
      <c r="J26" s="242">
        <v>1107236</v>
      </c>
      <c r="K26" s="243">
        <f t="shared" si="2"/>
        <v>0.24780223439268417</v>
      </c>
      <c r="L26" s="242">
        <v>960000</v>
      </c>
      <c r="M26" s="243">
        <f t="shared" si="8"/>
        <v>0.8103540148002044</v>
      </c>
      <c r="N26" s="242">
        <v>9376799</v>
      </c>
      <c r="O26" s="243">
        <f t="shared" si="4"/>
        <v>0.20011045945738365</v>
      </c>
    </row>
    <row r="27" spans="1:15" ht="25.5" customHeight="1">
      <c r="A27" s="382" t="s">
        <v>868</v>
      </c>
      <c r="B27" s="305">
        <f>SUM(B28:B30)</f>
        <v>2297554398</v>
      </c>
      <c r="C27" s="245">
        <f t="shared" si="7"/>
        <v>12.22870742028173</v>
      </c>
      <c r="D27" s="305">
        <f>SUM(D28:D30)</f>
        <v>101785775</v>
      </c>
      <c r="E27" s="245">
        <f t="shared" si="7"/>
        <v>0.7828926011466284</v>
      </c>
      <c r="F27" s="305">
        <f>SUM(F29:F30)</f>
        <v>1061543</v>
      </c>
      <c r="G27" s="245">
        <f t="shared" si="0"/>
        <v>0.2889286597814413</v>
      </c>
      <c r="H27" s="305">
        <f>SUM(H29:H30)</f>
        <v>87360</v>
      </c>
      <c r="I27" s="245">
        <f t="shared" si="1"/>
        <v>0.05186042322735748</v>
      </c>
      <c r="J27" s="305">
        <f>SUM(J29:J30)</f>
        <v>10231806</v>
      </c>
      <c r="K27" s="245">
        <f t="shared" si="2"/>
        <v>2.289904219762067</v>
      </c>
      <c r="L27" s="305">
        <f>SUM(L28:L30)</f>
        <v>100000</v>
      </c>
      <c r="M27" s="243">
        <f t="shared" si="8"/>
        <v>0.08441187654168797</v>
      </c>
      <c r="N27" s="305">
        <f>SUM(N29:N30)</f>
        <v>2184287914</v>
      </c>
      <c r="O27" s="245">
        <f t="shared" si="4"/>
        <v>46.614933097931406</v>
      </c>
    </row>
    <row r="28" spans="1:15" ht="21.75" customHeight="1">
      <c r="A28" s="383" t="s">
        <v>869</v>
      </c>
      <c r="B28" s="242">
        <f>D28+F28+H28+J28+L28+N28</f>
        <v>0</v>
      </c>
      <c r="C28" s="243">
        <f t="shared" si="7"/>
        <v>0</v>
      </c>
      <c r="D28" s="242">
        <v>0</v>
      </c>
      <c r="E28" s="243">
        <f t="shared" si="7"/>
        <v>0</v>
      </c>
      <c r="F28" s="242">
        <v>0</v>
      </c>
      <c r="G28" s="243">
        <f t="shared" si="0"/>
        <v>0</v>
      </c>
      <c r="H28" s="242">
        <v>0</v>
      </c>
      <c r="I28" s="243">
        <f t="shared" si="1"/>
        <v>0</v>
      </c>
      <c r="J28" s="242">
        <v>0</v>
      </c>
      <c r="K28" s="243">
        <f t="shared" si="2"/>
        <v>0</v>
      </c>
      <c r="L28" s="242">
        <v>0</v>
      </c>
      <c r="M28" s="243">
        <f t="shared" si="8"/>
        <v>0</v>
      </c>
      <c r="N28" s="242">
        <v>0</v>
      </c>
      <c r="O28" s="243">
        <f t="shared" si="4"/>
        <v>0</v>
      </c>
    </row>
    <row r="29" spans="1:15" ht="25.5" customHeight="1">
      <c r="A29" s="383" t="s">
        <v>870</v>
      </c>
      <c r="B29" s="242">
        <f t="shared" si="6"/>
        <v>2216571451</v>
      </c>
      <c r="C29" s="243">
        <f t="shared" si="7"/>
        <v>11.797676596481761</v>
      </c>
      <c r="D29" s="242">
        <v>20802828</v>
      </c>
      <c r="E29" s="243">
        <f t="shared" si="7"/>
        <v>0.1600064461279183</v>
      </c>
      <c r="F29" s="242">
        <v>1061543</v>
      </c>
      <c r="G29" s="243">
        <f t="shared" si="0"/>
        <v>0.2889286597814413</v>
      </c>
      <c r="H29" s="242">
        <v>87360</v>
      </c>
      <c r="I29" s="243">
        <f t="shared" si="1"/>
        <v>0.05186042322735748</v>
      </c>
      <c r="J29" s="242">
        <v>10231806</v>
      </c>
      <c r="K29" s="243">
        <f t="shared" si="2"/>
        <v>2.289904219762067</v>
      </c>
      <c r="L29" s="242">
        <v>100000</v>
      </c>
      <c r="M29" s="243">
        <f t="shared" si="8"/>
        <v>0.08441187654168797</v>
      </c>
      <c r="N29" s="242">
        <v>2184287914</v>
      </c>
      <c r="O29" s="243">
        <f t="shared" si="4"/>
        <v>46.614933097931406</v>
      </c>
    </row>
    <row r="30" spans="1:15" ht="25.5" customHeight="1">
      <c r="A30" s="383" t="s">
        <v>871</v>
      </c>
      <c r="B30" s="242">
        <f t="shared" si="6"/>
        <v>80982947</v>
      </c>
      <c r="C30" s="243">
        <f t="shared" si="7"/>
        <v>0.4310308237999691</v>
      </c>
      <c r="D30" s="242">
        <v>80982947</v>
      </c>
      <c r="E30" s="243">
        <f t="shared" si="7"/>
        <v>0.62288615501871</v>
      </c>
      <c r="F30" s="242">
        <v>0</v>
      </c>
      <c r="G30" s="243">
        <f t="shared" si="0"/>
        <v>0</v>
      </c>
      <c r="H30" s="242">
        <v>0</v>
      </c>
      <c r="I30" s="243">
        <f t="shared" si="1"/>
        <v>0</v>
      </c>
      <c r="J30" s="242">
        <v>0</v>
      </c>
      <c r="K30" s="243">
        <f t="shared" si="2"/>
        <v>0</v>
      </c>
      <c r="L30" s="242">
        <v>0</v>
      </c>
      <c r="M30" s="243">
        <f t="shared" si="8"/>
        <v>0</v>
      </c>
      <c r="N30" s="242">
        <v>0</v>
      </c>
      <c r="O30" s="243">
        <f t="shared" si="4"/>
        <v>0</v>
      </c>
    </row>
    <row r="31" spans="1:15" ht="25.5" customHeight="1">
      <c r="A31" s="387" t="s">
        <v>872</v>
      </c>
      <c r="B31" s="307">
        <f>B8+B14+B16+B25+B27</f>
        <v>18788203193</v>
      </c>
      <c r="C31" s="256">
        <f t="shared" si="7"/>
        <v>100</v>
      </c>
      <c r="D31" s="307">
        <f>D7</f>
        <v>13001243702</v>
      </c>
      <c r="E31" s="256">
        <f t="shared" si="7"/>
        <v>100</v>
      </c>
      <c r="F31" s="307">
        <f>F7</f>
        <v>367406612</v>
      </c>
      <c r="G31" s="256">
        <f t="shared" si="0"/>
        <v>100</v>
      </c>
      <c r="H31" s="307">
        <f>H7</f>
        <v>168452154</v>
      </c>
      <c r="I31" s="256">
        <f t="shared" si="1"/>
        <v>100</v>
      </c>
      <c r="J31" s="307">
        <f>J7</f>
        <v>446822444</v>
      </c>
      <c r="K31" s="256">
        <f t="shared" si="2"/>
        <v>100</v>
      </c>
      <c r="L31" s="307">
        <f>L7</f>
        <v>118466742</v>
      </c>
      <c r="M31" s="256">
        <f>L31/L$7*100</f>
        <v>100</v>
      </c>
      <c r="N31" s="307">
        <f>N7</f>
        <v>4685811539</v>
      </c>
      <c r="O31" s="256">
        <f t="shared" si="4"/>
        <v>100</v>
      </c>
    </row>
    <row r="32" spans="1:15" ht="24.75" customHeight="1">
      <c r="A32" s="388" t="s">
        <v>873</v>
      </c>
      <c r="B32" s="305">
        <f>B33+B37+B39</f>
        <v>6732195097</v>
      </c>
      <c r="C32" s="389">
        <f>B32/B$56*100</f>
        <v>35.832032620917374</v>
      </c>
      <c r="D32" s="305">
        <f>D33+D37+D39</f>
        <v>3007228087</v>
      </c>
      <c r="E32" s="389">
        <f aca="true" t="shared" si="9" ref="E32:E42">D32/D$56*100</f>
        <v>23.130310883545654</v>
      </c>
      <c r="F32" s="305">
        <f>F33+F37+F39</f>
        <v>96933341</v>
      </c>
      <c r="G32" s="389">
        <f aca="true" t="shared" si="10" ref="G32:G42">F32/F$56*100</f>
        <v>26.383123720157762</v>
      </c>
      <c r="H32" s="305">
        <f>H33+H37+H39</f>
        <v>40059265</v>
      </c>
      <c r="I32" s="389">
        <f aca="true" t="shared" si="11" ref="I32:I42">H32/H$56*100</f>
        <v>23.78079712771141</v>
      </c>
      <c r="J32" s="305">
        <f>J33+J37+J39</f>
        <v>131828193</v>
      </c>
      <c r="K32" s="389">
        <f>J32/J$56*100</f>
        <v>29.50348505770225</v>
      </c>
      <c r="L32" s="305">
        <f>L33+L37+L39</f>
        <v>49951728</v>
      </c>
      <c r="M32" s="389">
        <f>L32/L$56*100</f>
        <v>42.165190969799774</v>
      </c>
      <c r="N32" s="305">
        <f>N33+N37+N39</f>
        <v>3406194483</v>
      </c>
      <c r="O32" s="389">
        <f aca="true" t="shared" si="12" ref="O32:O40">N32/N$56*100</f>
        <v>72.69166620659517</v>
      </c>
    </row>
    <row r="33" spans="1:15" ht="24.75" customHeight="1">
      <c r="A33" s="382" t="s">
        <v>874</v>
      </c>
      <c r="B33" s="305">
        <f>SUM(B34:B36)</f>
        <v>2503467242</v>
      </c>
      <c r="C33" s="389">
        <f>B33/B$56*100</f>
        <v>13.32467621455535</v>
      </c>
      <c r="D33" s="305">
        <f>SUM(D34:D36)</f>
        <v>2140253594</v>
      </c>
      <c r="E33" s="389">
        <f t="shared" si="9"/>
        <v>16.4619142834063</v>
      </c>
      <c r="F33" s="305">
        <f>SUM(F34:F36)</f>
        <v>30553248</v>
      </c>
      <c r="G33" s="389">
        <f t="shared" si="10"/>
        <v>8.315922196849304</v>
      </c>
      <c r="H33" s="305">
        <f>SUM(H34:H36)</f>
        <v>17051052</v>
      </c>
      <c r="I33" s="389">
        <f t="shared" si="11"/>
        <v>10.122192916571432</v>
      </c>
      <c r="J33" s="305">
        <f>SUM(J34:J36)</f>
        <v>32578150</v>
      </c>
      <c r="K33" s="389">
        <f>J33/J$56*100</f>
        <v>7.291072871890025</v>
      </c>
      <c r="L33" s="305">
        <f>SUM(L34:L36)</f>
        <v>11415558</v>
      </c>
      <c r="M33" s="389">
        <f>L33/L$56*100</f>
        <v>9.636086725504784</v>
      </c>
      <c r="N33" s="305">
        <f>SUM(N34:N36)</f>
        <v>271615640</v>
      </c>
      <c r="O33" s="389">
        <f t="shared" si="12"/>
        <v>5.796554934814249</v>
      </c>
    </row>
    <row r="34" spans="1:15" ht="24.75" customHeight="1">
      <c r="A34" s="383" t="s">
        <v>875</v>
      </c>
      <c r="B34" s="242">
        <f t="shared" si="6"/>
        <v>2138697229</v>
      </c>
      <c r="C34" s="390">
        <f>B34/B$56*100</f>
        <v>11.383191926500047</v>
      </c>
      <c r="D34" s="242">
        <v>1781395372</v>
      </c>
      <c r="E34" s="390">
        <f t="shared" si="9"/>
        <v>13.701730486953071</v>
      </c>
      <c r="F34" s="242">
        <v>27095901</v>
      </c>
      <c r="G34" s="390">
        <f t="shared" si="10"/>
        <v>7.374908375356075</v>
      </c>
      <c r="H34" s="242">
        <v>16966664</v>
      </c>
      <c r="I34" s="390">
        <f t="shared" si="11"/>
        <v>10.072096792540867</v>
      </c>
      <c r="J34" s="242">
        <v>32578150</v>
      </c>
      <c r="K34" s="390">
        <f>J34/J$56*100</f>
        <v>7.291072871890025</v>
      </c>
      <c r="L34" s="242">
        <v>11415558</v>
      </c>
      <c r="M34" s="390">
        <f>L34/L$56*100</f>
        <v>9.636086725504784</v>
      </c>
      <c r="N34" s="242">
        <v>269245584</v>
      </c>
      <c r="O34" s="390">
        <f t="shared" si="12"/>
        <v>5.745975521189223</v>
      </c>
    </row>
    <row r="35" spans="1:15" ht="24.75" customHeight="1">
      <c r="A35" s="383" t="s">
        <v>876</v>
      </c>
      <c r="B35" s="242">
        <f>D35++F35+H35+J35+L35+N35</f>
        <v>364770013</v>
      </c>
      <c r="C35" s="390">
        <f>B35/B$56*100</f>
        <v>1.9414842880553043</v>
      </c>
      <c r="D35" s="242">
        <v>358858222</v>
      </c>
      <c r="E35" s="390">
        <f t="shared" si="9"/>
        <v>2.7601837964532296</v>
      </c>
      <c r="F35" s="242">
        <v>3457347</v>
      </c>
      <c r="G35" s="390">
        <f t="shared" si="10"/>
        <v>0.9410138214932289</v>
      </c>
      <c r="H35" s="242">
        <v>84388</v>
      </c>
      <c r="I35" s="390">
        <f t="shared" si="11"/>
        <v>0.05009612403056598</v>
      </c>
      <c r="J35" s="242">
        <v>0</v>
      </c>
      <c r="K35" s="242">
        <f>J35/J$56*100</f>
        <v>0</v>
      </c>
      <c r="L35" s="242">
        <v>0</v>
      </c>
      <c r="M35" s="303">
        <f>L35/L$56*100</f>
        <v>0</v>
      </c>
      <c r="N35" s="242">
        <v>2370056</v>
      </c>
      <c r="O35" s="390">
        <f t="shared" si="12"/>
        <v>0.05057941362502586</v>
      </c>
    </row>
    <row r="36" spans="1:15" ht="24.75" customHeight="1">
      <c r="A36" s="383" t="s">
        <v>877</v>
      </c>
      <c r="B36" s="242">
        <f t="shared" si="6"/>
        <v>0</v>
      </c>
      <c r="C36" s="303">
        <f>B36/B$56*100</f>
        <v>0</v>
      </c>
      <c r="D36" s="242">
        <v>0</v>
      </c>
      <c r="E36" s="303">
        <f t="shared" si="9"/>
        <v>0</v>
      </c>
      <c r="F36" s="242">
        <v>0</v>
      </c>
      <c r="G36" s="303">
        <f t="shared" si="10"/>
        <v>0</v>
      </c>
      <c r="H36" s="242">
        <v>0</v>
      </c>
      <c r="I36" s="303">
        <f t="shared" si="11"/>
        <v>0</v>
      </c>
      <c r="J36" s="242">
        <v>0</v>
      </c>
      <c r="K36" s="303">
        <f>J36/J$56*100</f>
        <v>0</v>
      </c>
      <c r="L36" s="242">
        <v>0</v>
      </c>
      <c r="M36" s="303">
        <f>L36/L$56*100</f>
        <v>0</v>
      </c>
      <c r="N36" s="242">
        <v>0</v>
      </c>
      <c r="O36" s="303">
        <f t="shared" si="12"/>
        <v>0</v>
      </c>
    </row>
    <row r="37" spans="1:15" ht="24.75" customHeight="1">
      <c r="A37" s="382" t="s">
        <v>878</v>
      </c>
      <c r="B37" s="305">
        <f>B38</f>
        <v>442783858</v>
      </c>
      <c r="C37" s="389">
        <f aca="true" t="shared" si="13" ref="C37:C49">B37/B$56*100</f>
        <v>2.356712099882813</v>
      </c>
      <c r="D37" s="305">
        <f>SUM(D38)</f>
        <v>352448459</v>
      </c>
      <c r="E37" s="389">
        <f t="shared" si="9"/>
        <v>2.710882643833392</v>
      </c>
      <c r="F37" s="305">
        <f>SUM(F38)</f>
        <v>39746778</v>
      </c>
      <c r="G37" s="389">
        <f t="shared" si="10"/>
        <v>10.818198884237825</v>
      </c>
      <c r="H37" s="305">
        <f>SUM(H38)</f>
        <v>22133750</v>
      </c>
      <c r="I37" s="389">
        <f t="shared" si="11"/>
        <v>13.139487667222113</v>
      </c>
      <c r="J37" s="305">
        <f>SUM(J38)</f>
        <v>11593498</v>
      </c>
      <c r="K37" s="389">
        <f aca="true" t="shared" si="14" ref="K37:K42">J37/J$56*100</f>
        <v>2.594654354471057</v>
      </c>
      <c r="L37" s="305">
        <f>SUM(L38)</f>
        <v>10902880</v>
      </c>
      <c r="M37" s="389">
        <f aca="true" t="shared" si="15" ref="M37:M42">L37/L$56*100</f>
        <v>9.20332560508839</v>
      </c>
      <c r="N37" s="305">
        <f>SUM(N38)</f>
        <v>5958493</v>
      </c>
      <c r="O37" s="389">
        <f t="shared" si="12"/>
        <v>0.1271603211184973</v>
      </c>
    </row>
    <row r="38" spans="1:15" ht="24.75" customHeight="1">
      <c r="A38" s="383" t="s">
        <v>879</v>
      </c>
      <c r="B38" s="242">
        <f t="shared" si="6"/>
        <v>442783858</v>
      </c>
      <c r="C38" s="390">
        <f t="shared" si="13"/>
        <v>2.356712099882813</v>
      </c>
      <c r="D38" s="242">
        <v>352448459</v>
      </c>
      <c r="E38" s="390">
        <f t="shared" si="9"/>
        <v>2.710882643833392</v>
      </c>
      <c r="F38" s="242">
        <v>39746778</v>
      </c>
      <c r="G38" s="390">
        <f t="shared" si="10"/>
        <v>10.818198884237825</v>
      </c>
      <c r="H38" s="242">
        <v>22133750</v>
      </c>
      <c r="I38" s="390">
        <f t="shared" si="11"/>
        <v>13.139487667222113</v>
      </c>
      <c r="J38" s="242">
        <v>11593498</v>
      </c>
      <c r="K38" s="390">
        <f t="shared" si="14"/>
        <v>2.594654354471057</v>
      </c>
      <c r="L38" s="242">
        <v>10902880</v>
      </c>
      <c r="M38" s="390">
        <f t="shared" si="15"/>
        <v>9.20332560508839</v>
      </c>
      <c r="N38" s="242">
        <v>5958493</v>
      </c>
      <c r="O38" s="390">
        <f t="shared" si="12"/>
        <v>0.1271603211184973</v>
      </c>
    </row>
    <row r="39" spans="1:15" ht="24.75" customHeight="1">
      <c r="A39" s="382" t="s">
        <v>880</v>
      </c>
      <c r="B39" s="305">
        <f>SUM(B40:B42)</f>
        <v>3785943997</v>
      </c>
      <c r="C39" s="389">
        <f t="shared" si="13"/>
        <v>20.15064430647921</v>
      </c>
      <c r="D39" s="305">
        <f>SUM(D40:D42)</f>
        <v>514526034</v>
      </c>
      <c r="E39" s="389">
        <f t="shared" si="9"/>
        <v>3.957513956305963</v>
      </c>
      <c r="F39" s="305">
        <f>SUM(F40:F42)</f>
        <v>26633315</v>
      </c>
      <c r="G39" s="389">
        <f t="shared" si="10"/>
        <v>7.249002639070633</v>
      </c>
      <c r="H39" s="305">
        <f>SUM(H40:H42)</f>
        <v>874463</v>
      </c>
      <c r="I39" s="389">
        <f t="shared" si="11"/>
        <v>0.5191165439178653</v>
      </c>
      <c r="J39" s="305">
        <f>SUM(J40:J42)</f>
        <v>87656545</v>
      </c>
      <c r="K39" s="389">
        <f t="shared" si="14"/>
        <v>19.61775783134117</v>
      </c>
      <c r="L39" s="305">
        <f>SUM(L40:L42)</f>
        <v>27633290</v>
      </c>
      <c r="M39" s="389">
        <f t="shared" si="15"/>
        <v>23.325778639206604</v>
      </c>
      <c r="N39" s="305">
        <f>SUM(N40:N42)</f>
        <v>3128620350</v>
      </c>
      <c r="O39" s="389">
        <f t="shared" si="12"/>
        <v>66.76795095066242</v>
      </c>
    </row>
    <row r="40" spans="1:15" ht="24.75" customHeight="1">
      <c r="A40" s="383" t="s">
        <v>881</v>
      </c>
      <c r="B40" s="242">
        <f t="shared" si="6"/>
        <v>0</v>
      </c>
      <c r="C40" s="303">
        <f t="shared" si="13"/>
        <v>0</v>
      </c>
      <c r="D40" s="242">
        <v>0</v>
      </c>
      <c r="E40" s="303">
        <f t="shared" si="9"/>
        <v>0</v>
      </c>
      <c r="F40" s="242">
        <v>0</v>
      </c>
      <c r="G40" s="303">
        <f t="shared" si="10"/>
        <v>0</v>
      </c>
      <c r="H40" s="242">
        <v>0</v>
      </c>
      <c r="I40" s="303">
        <f t="shared" si="11"/>
        <v>0</v>
      </c>
      <c r="J40" s="242">
        <v>0</v>
      </c>
      <c r="K40" s="303">
        <f t="shared" si="14"/>
        <v>0</v>
      </c>
      <c r="L40" s="242">
        <v>0</v>
      </c>
      <c r="M40" s="303">
        <f t="shared" si="15"/>
        <v>0</v>
      </c>
      <c r="N40" s="242">
        <v>0</v>
      </c>
      <c r="O40" s="303">
        <f t="shared" si="12"/>
        <v>0</v>
      </c>
    </row>
    <row r="41" spans="1:15" ht="24.75" customHeight="1">
      <c r="A41" s="383" t="s">
        <v>882</v>
      </c>
      <c r="B41" s="242">
        <f t="shared" si="6"/>
        <v>2766040980</v>
      </c>
      <c r="C41" s="390">
        <f t="shared" si="13"/>
        <v>14.722221979324534</v>
      </c>
      <c r="D41" s="242">
        <v>514526034</v>
      </c>
      <c r="E41" s="390">
        <f aca="true" t="shared" si="16" ref="E41:E51">D41/D$56*100</f>
        <v>3.957513956305963</v>
      </c>
      <c r="F41" s="242">
        <v>26449451</v>
      </c>
      <c r="G41" s="390">
        <f t="shared" si="10"/>
        <v>7.198958901697719</v>
      </c>
      <c r="H41" s="242">
        <v>843260</v>
      </c>
      <c r="I41" s="390">
        <f t="shared" si="11"/>
        <v>0.5005931832726818</v>
      </c>
      <c r="J41" s="242">
        <v>9163523</v>
      </c>
      <c r="K41" s="390">
        <f t="shared" si="14"/>
        <v>2.050819765893407</v>
      </c>
      <c r="L41" s="242">
        <v>2871330</v>
      </c>
      <c r="M41" s="390">
        <f t="shared" si="15"/>
        <v>2.4237435347044487</v>
      </c>
      <c r="N41" s="242">
        <v>2212187382</v>
      </c>
      <c r="O41" s="390">
        <f aca="true" t="shared" si="17" ref="O41:O53">N41/N$56*100</f>
        <v>47.21033621578608</v>
      </c>
    </row>
    <row r="42" spans="1:15" ht="24.75" customHeight="1">
      <c r="A42" s="383" t="s">
        <v>883</v>
      </c>
      <c r="B42" s="242">
        <f>D42+F42+H42+J42+L42+N42</f>
        <v>1019903017</v>
      </c>
      <c r="C42" s="390">
        <f t="shared" si="13"/>
        <v>5.428422327154677</v>
      </c>
      <c r="D42" s="242">
        <v>0</v>
      </c>
      <c r="E42" s="303">
        <f t="shared" si="9"/>
        <v>0</v>
      </c>
      <c r="F42" s="242">
        <v>183864</v>
      </c>
      <c r="G42" s="390">
        <f t="shared" si="10"/>
        <v>0.05004373737291369</v>
      </c>
      <c r="H42" s="242">
        <v>31203</v>
      </c>
      <c r="I42" s="390">
        <f t="shared" si="11"/>
        <v>0.01852336064518356</v>
      </c>
      <c r="J42" s="242">
        <v>78493022</v>
      </c>
      <c r="K42" s="390">
        <f t="shared" si="14"/>
        <v>17.56693806544776</v>
      </c>
      <c r="L42" s="242">
        <v>24761960</v>
      </c>
      <c r="M42" s="390">
        <f t="shared" si="15"/>
        <v>20.902035104502158</v>
      </c>
      <c r="N42" s="242">
        <v>916432968</v>
      </c>
      <c r="O42" s="390">
        <f t="shared" si="17"/>
        <v>19.557614734876346</v>
      </c>
    </row>
    <row r="43" spans="1:15" ht="24.75" customHeight="1">
      <c r="A43" s="246" t="s">
        <v>250</v>
      </c>
      <c r="B43" s="242">
        <f>D43+F43+H43+J43+L43+N43</f>
        <v>12056008096</v>
      </c>
      <c r="C43" s="389">
        <f t="shared" si="13"/>
        <v>64.16796737908263</v>
      </c>
      <c r="D43" s="305">
        <f>+D44+D46+D48+D52</f>
        <v>9994015615</v>
      </c>
      <c r="E43" s="389">
        <f t="shared" si="16"/>
        <v>76.86968911645434</v>
      </c>
      <c r="F43" s="305">
        <f>+F44+F46+F48+F52</f>
        <v>270473271</v>
      </c>
      <c r="G43" s="389">
        <f aca="true" t="shared" si="18" ref="G43:G56">F43/F$56*100</f>
        <v>73.61687627984223</v>
      </c>
      <c r="H43" s="305">
        <f>+H44+H46+H48+H52</f>
        <v>128392889</v>
      </c>
      <c r="I43" s="389">
        <f aca="true" t="shared" si="19" ref="I43:I51">H43/H$56*100</f>
        <v>76.21920287228859</v>
      </c>
      <c r="J43" s="305">
        <f>+J44+J46+J48+J52</f>
        <v>314994251</v>
      </c>
      <c r="K43" s="389">
        <f aca="true" t="shared" si="20" ref="K43:K50">J43/J$56*100</f>
        <v>70.49651494229775</v>
      </c>
      <c r="L43" s="305">
        <f>+L44+L46+L48</f>
        <v>68515014</v>
      </c>
      <c r="M43" s="389">
        <f aca="true" t="shared" si="21" ref="M43:M55">L43/L$56*100</f>
        <v>57.83480903020022</v>
      </c>
      <c r="N43" s="305">
        <f>+N44+N46+N48+N52</f>
        <v>1279617056</v>
      </c>
      <c r="O43" s="389">
        <f t="shared" si="17"/>
        <v>27.30833379340483</v>
      </c>
    </row>
    <row r="44" spans="1:15" ht="24.75" customHeight="1">
      <c r="A44" s="382" t="s">
        <v>884</v>
      </c>
      <c r="B44" s="305">
        <f t="shared" si="6"/>
        <v>5788665288</v>
      </c>
      <c r="C44" s="389">
        <f t="shared" si="13"/>
        <v>30.810105833626007</v>
      </c>
      <c r="D44" s="305">
        <f>+D45</f>
        <v>4550000000</v>
      </c>
      <c r="E44" s="389">
        <f t="shared" si="16"/>
        <v>34.99665189184991</v>
      </c>
      <c r="F44" s="305">
        <f>+F45</f>
        <v>129121275</v>
      </c>
      <c r="G44" s="389">
        <f t="shared" si="18"/>
        <v>35.143971497170554</v>
      </c>
      <c r="H44" s="305">
        <f>+H45</f>
        <v>136125837</v>
      </c>
      <c r="I44" s="389">
        <f t="shared" si="19"/>
        <v>80.80979302882645</v>
      </c>
      <c r="J44" s="305">
        <f>+J45</f>
        <v>247534773</v>
      </c>
      <c r="K44" s="389">
        <f t="shared" si="20"/>
        <v>55.39891210120144</v>
      </c>
      <c r="L44" s="305">
        <f>+L45</f>
        <v>19025000</v>
      </c>
      <c r="M44" s="389">
        <f t="shared" si="21"/>
        <v>16.059359512056133</v>
      </c>
      <c r="N44" s="305">
        <f>+N45</f>
        <v>706858403</v>
      </c>
      <c r="O44" s="389">
        <f t="shared" si="17"/>
        <v>15.085079651983843</v>
      </c>
    </row>
    <row r="45" spans="1:15" ht="24.75" customHeight="1">
      <c r="A45" s="383" t="s">
        <v>885</v>
      </c>
      <c r="B45" s="242">
        <f t="shared" si="6"/>
        <v>5788665288</v>
      </c>
      <c r="C45" s="390">
        <f t="shared" si="13"/>
        <v>30.810105833626007</v>
      </c>
      <c r="D45" s="242">
        <v>4550000000</v>
      </c>
      <c r="E45" s="390">
        <f t="shared" si="16"/>
        <v>34.99665189184991</v>
      </c>
      <c r="F45" s="242">
        <v>129121275</v>
      </c>
      <c r="G45" s="390">
        <f t="shared" si="18"/>
        <v>35.143971497170554</v>
      </c>
      <c r="H45" s="242">
        <v>136125837</v>
      </c>
      <c r="I45" s="390">
        <f t="shared" si="19"/>
        <v>80.80979302882645</v>
      </c>
      <c r="J45" s="242">
        <v>247534773</v>
      </c>
      <c r="K45" s="390">
        <f t="shared" si="20"/>
        <v>55.39891210120144</v>
      </c>
      <c r="L45" s="242">
        <v>19025000</v>
      </c>
      <c r="M45" s="390">
        <f t="shared" si="21"/>
        <v>16.059359512056133</v>
      </c>
      <c r="N45" s="242">
        <v>706858403</v>
      </c>
      <c r="O45" s="390">
        <f t="shared" si="17"/>
        <v>15.085079651983843</v>
      </c>
    </row>
    <row r="46" spans="1:15" ht="24.75" customHeight="1">
      <c r="A46" s="382" t="s">
        <v>886</v>
      </c>
      <c r="B46" s="305">
        <f t="shared" si="6"/>
        <v>1481848908</v>
      </c>
      <c r="C46" s="389">
        <f t="shared" si="13"/>
        <v>7.887124131977126</v>
      </c>
      <c r="D46" s="305">
        <f>+D47</f>
        <v>400364304</v>
      </c>
      <c r="E46" s="391">
        <f t="shared" si="16"/>
        <v>3.0794308081342354</v>
      </c>
      <c r="F46" s="305">
        <f>+F47</f>
        <v>1237636</v>
      </c>
      <c r="G46" s="389">
        <f t="shared" si="18"/>
        <v>0.33685730184953777</v>
      </c>
      <c r="H46" s="305">
        <f>+H47</f>
        <v>20261188</v>
      </c>
      <c r="I46" s="389">
        <f t="shared" si="19"/>
        <v>12.027859257887554</v>
      </c>
      <c r="J46" s="305">
        <f>+J47</f>
        <v>279241787</v>
      </c>
      <c r="K46" s="389">
        <f t="shared" si="20"/>
        <v>62.49502251950442</v>
      </c>
      <c r="L46" s="305">
        <f>+L47</f>
        <v>75720465</v>
      </c>
      <c r="M46" s="389">
        <f t="shared" si="21"/>
        <v>63.91706543259205</v>
      </c>
      <c r="N46" s="305">
        <f>+N47</f>
        <v>705023528</v>
      </c>
      <c r="O46" s="389">
        <f t="shared" si="17"/>
        <v>15.04592154703813</v>
      </c>
    </row>
    <row r="47" spans="1:15" ht="24.75" customHeight="1">
      <c r="A47" s="383" t="s">
        <v>887</v>
      </c>
      <c r="B47" s="242">
        <f t="shared" si="6"/>
        <v>1481848908</v>
      </c>
      <c r="C47" s="390">
        <f t="shared" si="13"/>
        <v>7.887124131977126</v>
      </c>
      <c r="D47" s="242">
        <v>400364304</v>
      </c>
      <c r="E47" s="392">
        <f t="shared" si="16"/>
        <v>3.0794308081342354</v>
      </c>
      <c r="F47" s="242">
        <v>1237636</v>
      </c>
      <c r="G47" s="390">
        <f t="shared" si="18"/>
        <v>0.33685730184953777</v>
      </c>
      <c r="H47" s="242">
        <v>20261188</v>
      </c>
      <c r="I47" s="390">
        <f t="shared" si="19"/>
        <v>12.027859257887554</v>
      </c>
      <c r="J47" s="242">
        <v>279241787</v>
      </c>
      <c r="K47" s="390">
        <f t="shared" si="20"/>
        <v>62.49502251950442</v>
      </c>
      <c r="L47" s="242">
        <v>75720465</v>
      </c>
      <c r="M47" s="390">
        <f t="shared" si="21"/>
        <v>63.91706543259205</v>
      </c>
      <c r="N47" s="242">
        <v>705023528</v>
      </c>
      <c r="O47" s="390">
        <f t="shared" si="17"/>
        <v>15.04592154703813</v>
      </c>
    </row>
    <row r="48" spans="1:15" ht="24.75" customHeight="1">
      <c r="A48" s="382" t="s">
        <v>888</v>
      </c>
      <c r="B48" s="305">
        <f>B49+B50+B51</f>
        <v>4586685284</v>
      </c>
      <c r="C48" s="389">
        <f t="shared" si="13"/>
        <v>24.412580792765116</v>
      </c>
      <c r="D48" s="305">
        <f>SUM(D49:D51)</f>
        <v>5051231519</v>
      </c>
      <c r="E48" s="389">
        <f t="shared" si="16"/>
        <v>38.851910130897416</v>
      </c>
      <c r="F48" s="305">
        <f>SUM(F49:F51)</f>
        <v>121758574</v>
      </c>
      <c r="G48" s="389">
        <f t="shared" si="18"/>
        <v>33.140006201086</v>
      </c>
      <c r="H48" s="306">
        <f>H49+H50+H51</f>
        <v>-28066156</v>
      </c>
      <c r="I48" s="389">
        <f t="shared" si="19"/>
        <v>-16.661203394288446</v>
      </c>
      <c r="J48" s="306">
        <f>J49+J50+J51</f>
        <v>-338353778</v>
      </c>
      <c r="K48" s="389">
        <f t="shared" si="20"/>
        <v>-75.72443652808094</v>
      </c>
      <c r="L48" s="306">
        <f>L49+L50+L51</f>
        <v>-26230451</v>
      </c>
      <c r="M48" s="389">
        <f t="shared" si="21"/>
        <v>-22.141615914447954</v>
      </c>
      <c r="N48" s="306">
        <f>N49+N50+N51</f>
        <v>-193654424</v>
      </c>
      <c r="O48" s="389">
        <f t="shared" si="17"/>
        <v>-4.132783027832311</v>
      </c>
    </row>
    <row r="49" spans="1:15" ht="24.75" customHeight="1">
      <c r="A49" s="383" t="s">
        <v>889</v>
      </c>
      <c r="B49" s="242">
        <f t="shared" si="6"/>
        <v>2533298362</v>
      </c>
      <c r="C49" s="390">
        <f t="shared" si="13"/>
        <v>13.483452014952881</v>
      </c>
      <c r="D49" s="242">
        <v>2511238491</v>
      </c>
      <c r="E49" s="390">
        <f t="shared" si="16"/>
        <v>19.315371271855266</v>
      </c>
      <c r="F49" s="242">
        <v>18949250</v>
      </c>
      <c r="G49" s="390">
        <f t="shared" si="18"/>
        <v>5.15756912943091</v>
      </c>
      <c r="H49" s="242">
        <v>0</v>
      </c>
      <c r="I49" s="303">
        <f t="shared" si="19"/>
        <v>0</v>
      </c>
      <c r="J49" s="303">
        <v>0</v>
      </c>
      <c r="K49" s="303">
        <f t="shared" si="20"/>
        <v>0</v>
      </c>
      <c r="L49" s="302">
        <v>2167512</v>
      </c>
      <c r="M49" s="390">
        <f t="shared" si="21"/>
        <v>1.8296375534662717</v>
      </c>
      <c r="N49" s="242">
        <v>943109</v>
      </c>
      <c r="O49" s="390">
        <f t="shared" si="17"/>
        <v>0.020126908480004063</v>
      </c>
    </row>
    <row r="50" spans="1:15" ht="24.75" customHeight="1">
      <c r="A50" s="383" t="s">
        <v>890</v>
      </c>
      <c r="B50" s="242">
        <f t="shared" si="6"/>
        <v>2642802352</v>
      </c>
      <c r="C50" s="390">
        <f aca="true" t="shared" si="22" ref="C50:C56">B50/B$56*100</f>
        <v>14.066285769065134</v>
      </c>
      <c r="D50" s="242">
        <v>2539993028</v>
      </c>
      <c r="E50" s="390">
        <f t="shared" si="16"/>
        <v>19.53653885904215</v>
      </c>
      <c r="F50" s="242">
        <v>102809324</v>
      </c>
      <c r="G50" s="390">
        <f t="shared" si="18"/>
        <v>27.9824370716551</v>
      </c>
      <c r="H50" s="242">
        <v>0</v>
      </c>
      <c r="I50" s="303">
        <f t="shared" si="19"/>
        <v>0</v>
      </c>
      <c r="J50" s="303">
        <v>0</v>
      </c>
      <c r="K50" s="303">
        <f t="shared" si="20"/>
        <v>0</v>
      </c>
      <c r="L50" s="303">
        <v>0</v>
      </c>
      <c r="M50" s="303">
        <f t="shared" si="21"/>
        <v>0</v>
      </c>
      <c r="N50" s="242">
        <v>0</v>
      </c>
      <c r="O50" s="303">
        <f t="shared" si="17"/>
        <v>0</v>
      </c>
    </row>
    <row r="51" spans="1:15" ht="24.75" customHeight="1">
      <c r="A51" s="383" t="s">
        <v>891</v>
      </c>
      <c r="B51" s="242">
        <f t="shared" si="6"/>
        <v>-589415430</v>
      </c>
      <c r="C51" s="390">
        <f t="shared" si="22"/>
        <v>-3.1371569912529</v>
      </c>
      <c r="D51" s="242">
        <v>0</v>
      </c>
      <c r="E51" s="249">
        <f t="shared" si="16"/>
        <v>0</v>
      </c>
      <c r="F51" s="242">
        <v>0</v>
      </c>
      <c r="G51" s="303">
        <f t="shared" si="18"/>
        <v>0</v>
      </c>
      <c r="H51" s="302">
        <v>-28066156</v>
      </c>
      <c r="I51" s="390">
        <f t="shared" si="19"/>
        <v>-16.661203394288446</v>
      </c>
      <c r="J51" s="302">
        <v>-338353778</v>
      </c>
      <c r="K51" s="390">
        <f aca="true" t="shared" si="23" ref="K51:K56">J51/J$56*100</f>
        <v>-75.72443652808094</v>
      </c>
      <c r="L51" s="302">
        <v>-28397963</v>
      </c>
      <c r="M51" s="390">
        <f t="shared" si="21"/>
        <v>-23.971253467914227</v>
      </c>
      <c r="N51" s="302">
        <v>-194597533</v>
      </c>
      <c r="O51" s="243">
        <f t="shared" si="17"/>
        <v>-4.152909936312315</v>
      </c>
    </row>
    <row r="52" spans="1:15" ht="24.75" customHeight="1">
      <c r="A52" s="251" t="s">
        <v>281</v>
      </c>
      <c r="B52" s="305">
        <f>SUM(B53:B55)</f>
        <v>198808616</v>
      </c>
      <c r="C52" s="389">
        <f t="shared" si="22"/>
        <v>1.0581566207143798</v>
      </c>
      <c r="D52" s="306">
        <f>SUM(D53:D55)</f>
        <v>-7580208</v>
      </c>
      <c r="E52" s="393">
        <f>D52/D$56*100</f>
        <v>-0.05830371442721227</v>
      </c>
      <c r="F52" s="305">
        <f>F53+F54</f>
        <v>18355786</v>
      </c>
      <c r="G52" s="389">
        <f t="shared" si="18"/>
        <v>4.996041279736142</v>
      </c>
      <c r="H52" s="305">
        <f>H53+H54</f>
        <v>72020</v>
      </c>
      <c r="I52" s="389">
        <f>H52/H$56*100</f>
        <v>0.042753979863029826</v>
      </c>
      <c r="J52" s="305">
        <f>J53+J54</f>
        <v>126571469</v>
      </c>
      <c r="K52" s="389">
        <f t="shared" si="23"/>
        <v>28.32701684967284</v>
      </c>
      <c r="L52" s="394">
        <f>SUM(L53:L55)</f>
        <v>0</v>
      </c>
      <c r="M52" s="394">
        <f t="shared" si="21"/>
        <v>0</v>
      </c>
      <c r="N52" s="305">
        <f>N53+N54</f>
        <v>61389549</v>
      </c>
      <c r="O52" s="389">
        <f t="shared" si="17"/>
        <v>1.3101156222151682</v>
      </c>
    </row>
    <row r="53" spans="1:15" ht="24.75" customHeight="1">
      <c r="A53" s="383" t="s">
        <v>892</v>
      </c>
      <c r="B53" s="302">
        <f t="shared" si="6"/>
        <v>-7580208</v>
      </c>
      <c r="C53" s="390">
        <f t="shared" si="22"/>
        <v>-0.04034557175123691</v>
      </c>
      <c r="D53" s="302">
        <v>-7580208</v>
      </c>
      <c r="E53" s="395">
        <f>D53/D$56*100</f>
        <v>-0.05830371442721227</v>
      </c>
      <c r="F53" s="242">
        <v>0</v>
      </c>
      <c r="G53" s="303">
        <f t="shared" si="18"/>
        <v>0</v>
      </c>
      <c r="H53" s="242">
        <v>0</v>
      </c>
      <c r="I53" s="303">
        <f>H53/H$56*100</f>
        <v>0</v>
      </c>
      <c r="J53" s="242">
        <v>0</v>
      </c>
      <c r="K53" s="303">
        <f t="shared" si="23"/>
        <v>0</v>
      </c>
      <c r="L53" s="249">
        <v>0</v>
      </c>
      <c r="M53" s="249">
        <f t="shared" si="21"/>
        <v>0</v>
      </c>
      <c r="N53" s="242">
        <v>0</v>
      </c>
      <c r="O53" s="303">
        <f t="shared" si="17"/>
        <v>0</v>
      </c>
    </row>
    <row r="54" spans="1:15" ht="24.75" customHeight="1">
      <c r="A54" s="383" t="s">
        <v>893</v>
      </c>
      <c r="B54" s="242">
        <f t="shared" si="6"/>
        <v>206388824</v>
      </c>
      <c r="C54" s="390">
        <f t="shared" si="22"/>
        <v>1.0985021924656166</v>
      </c>
      <c r="D54" s="242">
        <v>0</v>
      </c>
      <c r="E54" s="303">
        <f>D54/D$56*100</f>
        <v>0</v>
      </c>
      <c r="F54" s="242">
        <v>18355786</v>
      </c>
      <c r="G54" s="390">
        <f t="shared" si="18"/>
        <v>4.996041279736142</v>
      </c>
      <c r="H54" s="242">
        <v>72020</v>
      </c>
      <c r="I54" s="243">
        <f>H54/H$56*100</f>
        <v>0.042753979863029826</v>
      </c>
      <c r="J54" s="242">
        <v>126571469</v>
      </c>
      <c r="K54" s="243">
        <f t="shared" si="23"/>
        <v>28.32701684967284</v>
      </c>
      <c r="L54" s="249">
        <v>0</v>
      </c>
      <c r="M54" s="249">
        <f t="shared" si="21"/>
        <v>0</v>
      </c>
      <c r="N54" s="242">
        <v>61389549</v>
      </c>
      <c r="O54" s="390">
        <f>N54/N$56*100</f>
        <v>1.3101156222151682</v>
      </c>
    </row>
    <row r="55" spans="1:15" ht="24.75" customHeight="1">
      <c r="A55" s="396" t="s">
        <v>360</v>
      </c>
      <c r="B55" s="242">
        <f>D55+F55+H55+J55+L55+N55</f>
        <v>0</v>
      </c>
      <c r="C55" s="303">
        <f t="shared" si="22"/>
        <v>0</v>
      </c>
      <c r="D55" s="242">
        <v>0</v>
      </c>
      <c r="E55" s="303">
        <f>D55/D$56*100</f>
        <v>0</v>
      </c>
      <c r="F55" s="242">
        <v>0</v>
      </c>
      <c r="G55" s="303">
        <f t="shared" si="18"/>
        <v>0</v>
      </c>
      <c r="H55" s="242">
        <v>0</v>
      </c>
      <c r="I55" s="303">
        <f>H55/H$56*100</f>
        <v>0</v>
      </c>
      <c r="J55" s="242">
        <v>0</v>
      </c>
      <c r="K55" s="303">
        <f t="shared" si="23"/>
        <v>0</v>
      </c>
      <c r="L55" s="249">
        <v>0</v>
      </c>
      <c r="M55" s="249">
        <f t="shared" si="21"/>
        <v>0</v>
      </c>
      <c r="N55" s="242">
        <v>0</v>
      </c>
      <c r="O55" s="303">
        <f>N55/N$56*100</f>
        <v>0</v>
      </c>
    </row>
    <row r="56" spans="1:15" ht="24.75" customHeight="1">
      <c r="A56" s="341" t="s">
        <v>373</v>
      </c>
      <c r="B56" s="307">
        <f>B32+B43</f>
        <v>18788203193</v>
      </c>
      <c r="C56" s="397">
        <f t="shared" si="22"/>
        <v>100</v>
      </c>
      <c r="D56" s="307">
        <f>D32+D43</f>
        <v>13001243702</v>
      </c>
      <c r="E56" s="397">
        <f>D56/D$56*100</f>
        <v>100</v>
      </c>
      <c r="F56" s="307">
        <f>F32+F43</f>
        <v>367406612</v>
      </c>
      <c r="G56" s="397">
        <f t="shared" si="18"/>
        <v>100</v>
      </c>
      <c r="H56" s="307">
        <f>H32+H43</f>
        <v>168452154</v>
      </c>
      <c r="I56" s="397">
        <f>H56/H$56*100</f>
        <v>100</v>
      </c>
      <c r="J56" s="307">
        <f>J32+J43</f>
        <v>446822444</v>
      </c>
      <c r="K56" s="397">
        <f t="shared" si="23"/>
        <v>100</v>
      </c>
      <c r="L56" s="308">
        <f>L32+L43</f>
        <v>118466742</v>
      </c>
      <c r="M56" s="397">
        <f>L56/L$56*100</f>
        <v>100</v>
      </c>
      <c r="N56" s="307">
        <f>N32+N43</f>
        <v>4685811539</v>
      </c>
      <c r="O56" s="397">
        <f>N56/N$56*100</f>
        <v>100</v>
      </c>
    </row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</sheetData>
  <sheetProtection/>
  <mergeCells count="9">
    <mergeCell ref="F3:G3"/>
    <mergeCell ref="N4:O5"/>
    <mergeCell ref="H4:I5"/>
    <mergeCell ref="J4:K5"/>
    <mergeCell ref="L4:M5"/>
    <mergeCell ref="A4:A6"/>
    <mergeCell ref="B4:C5"/>
    <mergeCell ref="D4:E5"/>
    <mergeCell ref="F4:G5"/>
  </mergeCells>
  <printOptions/>
  <pageMargins left="0.7874015748031497" right="0.7874015748031497" top="0.5905511811023623" bottom="0.5905511811023623" header="0" footer="0.31496062992125984"/>
  <pageSetup firstPageNumber="34" useFirstPageNumber="1" horizontalDpi="600" verticalDpi="600" orientation="portrait" pageOrder="overThenDown" paperSize="9" r:id="rId4"/>
  <headerFooter alignWithMargins="0">
    <oddFooter xml:space="preserve">&amp;C&amp;P </oddFooter>
  </headerFooter>
  <rowBreaks count="1" manualBreakCount="1">
    <brk id="31" max="255" man="1"/>
  </rowBreaks>
  <ignoredErrors>
    <ignoredError sqref="N48" evalError="1"/>
  </ignoredError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6.5"/>
  <sheetData/>
  <sheetProtection/>
  <printOptions horizontalCentered="1" verticalCentered="1"/>
  <pageMargins left="0.5905511811023623" right="0.3937007874015748" top="0.7874015748031497" bottom="0.7874015748031497" header="0" footer="0.31496062992125984"/>
  <pageSetup firstPageNumber="20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6.5"/>
  <sheetData/>
  <sheetProtection/>
  <printOptions/>
  <pageMargins left="0.5905511811023623" right="0.5905511811023623" top="0.5905511811023623" bottom="0.5905511811023623" header="0" footer="0.2755905511811024"/>
  <pageSetup firstPageNumber="38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2" sqref="B92"/>
    </sheetView>
  </sheetViews>
  <sheetFormatPr defaultColWidth="9.00390625" defaultRowHeight="16.5"/>
  <cols>
    <col min="1" max="1" width="5.25390625" style="53" customWidth="1"/>
    <col min="2" max="2" width="11.125" style="53" customWidth="1"/>
    <col min="3" max="3" width="28.50390625" style="53" customWidth="1"/>
    <col min="4" max="5" width="10.625" style="53" customWidth="1"/>
    <col min="6" max="7" width="5.12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436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C2" s="663" t="s">
        <v>559</v>
      </c>
      <c r="D2" s="663"/>
      <c r="E2" s="663"/>
      <c r="F2" s="663"/>
      <c r="H2" s="82" t="s">
        <v>99</v>
      </c>
    </row>
    <row r="3" spans="1:8" ht="27" customHeight="1">
      <c r="A3" s="666" t="s">
        <v>161</v>
      </c>
      <c r="B3" s="84" t="s">
        <v>162</v>
      </c>
      <c r="C3" s="667" t="s">
        <v>163</v>
      </c>
      <c r="D3" s="667" t="s">
        <v>74</v>
      </c>
      <c r="E3" s="667" t="s">
        <v>164</v>
      </c>
      <c r="F3" s="664" t="s">
        <v>165</v>
      </c>
      <c r="G3" s="665"/>
      <c r="H3" s="666" t="s">
        <v>166</v>
      </c>
    </row>
    <row r="4" spans="1:8" ht="27" customHeight="1">
      <c r="A4" s="666"/>
      <c r="B4" s="85" t="s">
        <v>96</v>
      </c>
      <c r="C4" s="667"/>
      <c r="D4" s="667"/>
      <c r="E4" s="667"/>
      <c r="F4" s="86" t="s">
        <v>167</v>
      </c>
      <c r="G4" s="86" t="s">
        <v>168</v>
      </c>
      <c r="H4" s="666"/>
    </row>
    <row r="5" spans="1:9" ht="32.25" customHeight="1">
      <c r="A5" s="668" t="s">
        <v>306</v>
      </c>
      <c r="B5" s="87"/>
      <c r="C5" s="88" t="s">
        <v>169</v>
      </c>
      <c r="D5" s="87"/>
      <c r="E5" s="89"/>
      <c r="F5" s="90"/>
      <c r="G5" s="90"/>
      <c r="H5" s="91"/>
      <c r="I5" s="92"/>
    </row>
    <row r="6" spans="1:9" ht="29.25" customHeight="1">
      <c r="A6" s="669"/>
      <c r="B6" s="93">
        <f>B7</f>
        <v>11615156318</v>
      </c>
      <c r="C6" s="94" t="s">
        <v>47</v>
      </c>
      <c r="D6" s="93">
        <f>D7</f>
        <v>12211703000</v>
      </c>
      <c r="E6" s="93">
        <f>'損益機關'!D8</f>
        <v>12226079169</v>
      </c>
      <c r="F6" s="95"/>
      <c r="G6" s="95"/>
      <c r="H6" s="93">
        <f>E6</f>
        <v>12226079169</v>
      </c>
      <c r="I6" s="92"/>
    </row>
    <row r="7" spans="1:9" ht="29.25" customHeight="1">
      <c r="A7" s="670"/>
      <c r="B7" s="96">
        <v>11615156318</v>
      </c>
      <c r="C7" s="94" t="s">
        <v>48</v>
      </c>
      <c r="D7" s="93">
        <v>12211703000</v>
      </c>
      <c r="E7" s="93">
        <f>'損益機關'!D8</f>
        <v>12226079169</v>
      </c>
      <c r="F7" s="95"/>
      <c r="G7" s="95"/>
      <c r="H7" s="93">
        <f aca="true" t="shared" si="0" ref="H7:H59">E7</f>
        <v>12226079169</v>
      </c>
      <c r="I7" s="97"/>
    </row>
    <row r="8" spans="1:9" ht="29.25" customHeight="1">
      <c r="A8" s="670"/>
      <c r="B8" s="93">
        <f>B9</f>
        <v>5288555522</v>
      </c>
      <c r="C8" s="94" t="s">
        <v>52</v>
      </c>
      <c r="D8" s="93">
        <f>D9</f>
        <v>5746661000</v>
      </c>
      <c r="E8" s="93">
        <f>E9</f>
        <v>5807775556</v>
      </c>
      <c r="F8" s="95"/>
      <c r="G8" s="95"/>
      <c r="H8" s="93">
        <f t="shared" si="0"/>
        <v>5807775556</v>
      </c>
      <c r="I8" s="97"/>
    </row>
    <row r="9" spans="1:9" ht="29.25" customHeight="1">
      <c r="A9" s="670"/>
      <c r="B9" s="96">
        <v>5288555522</v>
      </c>
      <c r="C9" s="94" t="s">
        <v>53</v>
      </c>
      <c r="D9" s="93">
        <v>5746661000</v>
      </c>
      <c r="E9" s="93">
        <f>'損益機關'!D14</f>
        <v>5807775556</v>
      </c>
      <c r="F9" s="95"/>
      <c r="G9" s="95"/>
      <c r="H9" s="93">
        <f t="shared" si="0"/>
        <v>5807775556</v>
      </c>
      <c r="I9" s="97"/>
    </row>
    <row r="10" spans="1:9" ht="29.25" customHeight="1">
      <c r="A10" s="670"/>
      <c r="B10" s="93">
        <f>B6-B8</f>
        <v>6326600796</v>
      </c>
      <c r="C10" s="94" t="s">
        <v>170</v>
      </c>
      <c r="D10" s="93">
        <f>D6-D8</f>
        <v>6465042000</v>
      </c>
      <c r="E10" s="93">
        <f>E6-E8</f>
        <v>6418303613</v>
      </c>
      <c r="F10" s="95"/>
      <c r="G10" s="95"/>
      <c r="H10" s="93">
        <f t="shared" si="0"/>
        <v>6418303613</v>
      </c>
      <c r="I10" s="97"/>
    </row>
    <row r="11" spans="1:9" ht="29.25" customHeight="1">
      <c r="A11" s="670"/>
      <c r="B11" s="93">
        <f>SUM(B12:B14)</f>
        <v>5413562585</v>
      </c>
      <c r="C11" s="94" t="s">
        <v>247</v>
      </c>
      <c r="D11" s="93">
        <f>SUM(D12:D14)</f>
        <v>5667667000</v>
      </c>
      <c r="E11" s="93">
        <f>SUM(E12:E14)</f>
        <v>5557567525</v>
      </c>
      <c r="F11" s="95"/>
      <c r="G11" s="95"/>
      <c r="H11" s="93">
        <f t="shared" si="0"/>
        <v>5557567525</v>
      </c>
      <c r="I11" s="97"/>
    </row>
    <row r="12" spans="1:9" ht="29.25" customHeight="1">
      <c r="A12" s="670"/>
      <c r="B12" s="96">
        <v>467137841</v>
      </c>
      <c r="C12" s="94" t="s">
        <v>171</v>
      </c>
      <c r="D12" s="93">
        <v>664093000</v>
      </c>
      <c r="E12" s="93">
        <f>'損益機關'!D22</f>
        <v>369782739</v>
      </c>
      <c r="F12" s="95"/>
      <c r="G12" s="95"/>
      <c r="H12" s="93">
        <f t="shared" si="0"/>
        <v>369782739</v>
      </c>
      <c r="I12" s="97"/>
    </row>
    <row r="13" spans="1:9" ht="29.25" customHeight="1">
      <c r="A13" s="670"/>
      <c r="B13" s="96">
        <v>4902987080</v>
      </c>
      <c r="C13" s="94" t="s">
        <v>172</v>
      </c>
      <c r="D13" s="93">
        <v>4941998000</v>
      </c>
      <c r="E13" s="93">
        <f>'損益機關'!D24</f>
        <v>5150958830</v>
      </c>
      <c r="F13" s="95"/>
      <c r="G13" s="95"/>
      <c r="H13" s="93">
        <f t="shared" si="0"/>
        <v>5150958830</v>
      </c>
      <c r="I13" s="97"/>
    </row>
    <row r="14" spans="1:9" ht="29.25" customHeight="1">
      <c r="A14" s="670"/>
      <c r="B14" s="96">
        <v>43437664</v>
      </c>
      <c r="C14" s="94" t="s">
        <v>210</v>
      </c>
      <c r="D14" s="93">
        <v>61576000</v>
      </c>
      <c r="E14" s="93">
        <f>'損益機關'!D25</f>
        <v>36825956</v>
      </c>
      <c r="F14" s="95"/>
      <c r="G14" s="95"/>
      <c r="H14" s="93">
        <f t="shared" si="0"/>
        <v>36825956</v>
      </c>
      <c r="I14" s="97"/>
    </row>
    <row r="15" spans="1:9" ht="29.25" customHeight="1">
      <c r="A15" s="670"/>
      <c r="B15" s="93">
        <f>B10-B11</f>
        <v>913038211</v>
      </c>
      <c r="C15" s="94" t="s">
        <v>248</v>
      </c>
      <c r="D15" s="93">
        <f>D10-D11</f>
        <v>797375000</v>
      </c>
      <c r="E15" s="93">
        <f>E10-E11</f>
        <v>860736088</v>
      </c>
      <c r="F15" s="95"/>
      <c r="G15" s="95"/>
      <c r="H15" s="93">
        <f t="shared" si="0"/>
        <v>860736088</v>
      </c>
      <c r="I15" s="97"/>
    </row>
    <row r="16" spans="1:9" ht="29.25" customHeight="1">
      <c r="A16" s="670"/>
      <c r="B16" s="93"/>
      <c r="C16" s="94" t="s">
        <v>249</v>
      </c>
      <c r="D16" s="93"/>
      <c r="E16" s="93"/>
      <c r="F16" s="95"/>
      <c r="G16" s="95"/>
      <c r="H16" s="93"/>
      <c r="I16" s="97"/>
    </row>
    <row r="17" spans="1:9" ht="29.25" customHeight="1">
      <c r="A17" s="670"/>
      <c r="B17" s="93">
        <f>B18+B19</f>
        <v>62970665</v>
      </c>
      <c r="C17" s="94" t="s">
        <v>174</v>
      </c>
      <c r="D17" s="93">
        <f>D18+D19</f>
        <v>48434000</v>
      </c>
      <c r="E17" s="93">
        <f>E18+E19</f>
        <v>113836494</v>
      </c>
      <c r="F17" s="95"/>
      <c r="G17" s="95"/>
      <c r="H17" s="93">
        <f t="shared" si="0"/>
        <v>113836494</v>
      </c>
      <c r="I17" s="98"/>
    </row>
    <row r="18" spans="1:9" ht="29.25" customHeight="1">
      <c r="A18" s="670"/>
      <c r="B18" s="96">
        <v>9803072</v>
      </c>
      <c r="C18" s="94" t="s">
        <v>61</v>
      </c>
      <c r="D18" s="93">
        <v>8024000</v>
      </c>
      <c r="E18" s="93">
        <f>'損益機關'!D28</f>
        <v>43375409</v>
      </c>
      <c r="F18" s="95"/>
      <c r="G18" s="95"/>
      <c r="H18" s="93">
        <f t="shared" si="0"/>
        <v>43375409</v>
      </c>
      <c r="I18" s="97"/>
    </row>
    <row r="19" spans="1:9" ht="29.25" customHeight="1">
      <c r="A19" s="670"/>
      <c r="B19" s="96">
        <v>53167593</v>
      </c>
      <c r="C19" s="94" t="s">
        <v>62</v>
      </c>
      <c r="D19" s="93">
        <v>40410000</v>
      </c>
      <c r="E19" s="93">
        <f>'損益機關'!D29</f>
        <v>70461085</v>
      </c>
      <c r="F19" s="95"/>
      <c r="G19" s="95"/>
      <c r="H19" s="93">
        <f t="shared" si="0"/>
        <v>70461085</v>
      </c>
      <c r="I19" s="97"/>
    </row>
    <row r="20" spans="1:9" ht="29.25" customHeight="1">
      <c r="A20" s="670"/>
      <c r="B20" s="93">
        <f>SUM(B21:B22)</f>
        <v>68590124</v>
      </c>
      <c r="C20" s="94" t="s">
        <v>63</v>
      </c>
      <c r="D20" s="93">
        <f>SUM(D21:D22)</f>
        <v>45889000</v>
      </c>
      <c r="E20" s="93">
        <f>SUM(E21:E22)</f>
        <v>78517567</v>
      </c>
      <c r="F20" s="95"/>
      <c r="G20" s="95"/>
      <c r="H20" s="93">
        <f t="shared" si="0"/>
        <v>78517567</v>
      </c>
      <c r="I20" s="97"/>
    </row>
    <row r="21" spans="1:9" ht="29.25" customHeight="1">
      <c r="A21" s="670"/>
      <c r="B21" s="96">
        <v>42189490</v>
      </c>
      <c r="C21" s="94" t="s">
        <v>211</v>
      </c>
      <c r="D21" s="93">
        <v>1500000</v>
      </c>
      <c r="E21" s="93">
        <f>'損益機關'!D31</f>
        <v>47053016</v>
      </c>
      <c r="F21" s="95"/>
      <c r="G21" s="95"/>
      <c r="H21" s="93">
        <f t="shared" si="0"/>
        <v>47053016</v>
      </c>
      <c r="I21" s="97"/>
    </row>
    <row r="22" spans="1:9" ht="29.25" customHeight="1">
      <c r="A22" s="670"/>
      <c r="B22" s="96">
        <v>26400634</v>
      </c>
      <c r="C22" s="94" t="s">
        <v>64</v>
      </c>
      <c r="D22" s="93">
        <v>44389000</v>
      </c>
      <c r="E22" s="93">
        <f>'損益機關'!D32</f>
        <v>31464551</v>
      </c>
      <c r="F22" s="95"/>
      <c r="G22" s="95"/>
      <c r="H22" s="93">
        <f t="shared" si="0"/>
        <v>31464551</v>
      </c>
      <c r="I22" s="97"/>
    </row>
    <row r="23" spans="1:9" ht="30" customHeight="1">
      <c r="A23" s="670"/>
      <c r="B23" s="93">
        <f>B17-B20</f>
        <v>-5619459</v>
      </c>
      <c r="C23" s="94" t="s">
        <v>173</v>
      </c>
      <c r="D23" s="93">
        <f>D17-D20</f>
        <v>2545000</v>
      </c>
      <c r="E23" s="93">
        <f>E17-E20</f>
        <v>35318927</v>
      </c>
      <c r="F23" s="95"/>
      <c r="G23" s="95"/>
      <c r="H23" s="93">
        <f t="shared" si="0"/>
        <v>35318927</v>
      </c>
      <c r="I23" s="97"/>
    </row>
    <row r="24" spans="1:9" ht="30" customHeight="1">
      <c r="A24" s="670"/>
      <c r="B24" s="93">
        <f>B23+B15</f>
        <v>907418752</v>
      </c>
      <c r="C24" s="94" t="s">
        <v>65</v>
      </c>
      <c r="D24" s="93">
        <f>D23+D15</f>
        <v>799920000</v>
      </c>
      <c r="E24" s="93">
        <f>E23+E15</f>
        <v>896055015</v>
      </c>
      <c r="F24" s="95"/>
      <c r="G24" s="95"/>
      <c r="H24" s="93">
        <f t="shared" si="0"/>
        <v>896055015</v>
      </c>
      <c r="I24" s="97"/>
    </row>
    <row r="25" spans="1:9" ht="30" customHeight="1">
      <c r="A25" s="670"/>
      <c r="B25" s="96">
        <v>161967578</v>
      </c>
      <c r="C25" s="94" t="s">
        <v>175</v>
      </c>
      <c r="D25" s="93">
        <v>140946000</v>
      </c>
      <c r="E25" s="93">
        <f>'損益機關'!D35</f>
        <v>144585532</v>
      </c>
      <c r="F25" s="95"/>
      <c r="G25" s="95"/>
      <c r="H25" s="93">
        <f t="shared" si="0"/>
        <v>144585532</v>
      </c>
      <c r="I25" s="97"/>
    </row>
    <row r="26" spans="1:9" ht="30" customHeight="1">
      <c r="A26" s="671"/>
      <c r="B26" s="99">
        <f>B24-B25</f>
        <v>745451174</v>
      </c>
      <c r="C26" s="100" t="s">
        <v>66</v>
      </c>
      <c r="D26" s="99">
        <f>D24-D25</f>
        <v>658974000</v>
      </c>
      <c r="E26" s="99">
        <f>E24-E25</f>
        <v>751469483</v>
      </c>
      <c r="F26" s="101"/>
      <c r="G26" s="101"/>
      <c r="H26" s="99">
        <f t="shared" si="0"/>
        <v>751469483</v>
      </c>
      <c r="I26" s="97"/>
    </row>
    <row r="27" spans="1:9" ht="18.75" customHeight="1">
      <c r="A27" s="668" t="s">
        <v>307</v>
      </c>
      <c r="B27" s="102">
        <f>SUM(B28:B29)</f>
        <v>2136194110</v>
      </c>
      <c r="C27" s="103" t="s">
        <v>216</v>
      </c>
      <c r="D27" s="102">
        <f>SUM(D28:D30)</f>
        <v>2838101000</v>
      </c>
      <c r="E27" s="102">
        <f>SUM(E28:E30)</f>
        <v>3065155726</v>
      </c>
      <c r="F27" s="104"/>
      <c r="G27" s="104"/>
      <c r="H27" s="93">
        <f>E27</f>
        <v>3065155726</v>
      </c>
      <c r="I27" s="97"/>
    </row>
    <row r="28" spans="1:9" ht="18.75" customHeight="1">
      <c r="A28" s="669"/>
      <c r="B28" s="105">
        <v>745451174</v>
      </c>
      <c r="C28" s="94" t="s">
        <v>176</v>
      </c>
      <c r="D28" s="93">
        <v>658974000</v>
      </c>
      <c r="E28" s="93">
        <f>'盈虧撥補'!D8</f>
        <v>751469483</v>
      </c>
      <c r="F28" s="95"/>
      <c r="G28" s="95"/>
      <c r="H28" s="93">
        <f>E28</f>
        <v>751469483</v>
      </c>
      <c r="I28" s="97"/>
    </row>
    <row r="29" spans="1:9" ht="18.75" customHeight="1">
      <c r="A29" s="669"/>
      <c r="B29" s="105">
        <v>1390742936</v>
      </c>
      <c r="C29" s="94" t="s">
        <v>177</v>
      </c>
      <c r="D29" s="93">
        <v>1477074000</v>
      </c>
      <c r="E29" s="93">
        <f>'盈虧撥補'!D9</f>
        <v>1611633243</v>
      </c>
      <c r="F29" s="95"/>
      <c r="G29" s="95"/>
      <c r="H29" s="93">
        <f aca="true" t="shared" si="1" ref="H29:H40">E29</f>
        <v>1611633243</v>
      </c>
      <c r="I29" s="97"/>
    </row>
    <row r="30" spans="1:9" ht="18.75" customHeight="1">
      <c r="A30" s="669"/>
      <c r="B30" s="105"/>
      <c r="C30" s="94" t="s">
        <v>564</v>
      </c>
      <c r="D30" s="93">
        <v>702053000</v>
      </c>
      <c r="E30" s="93">
        <f>'盈虧撥補'!D10</f>
        <v>702053000</v>
      </c>
      <c r="F30" s="95"/>
      <c r="G30" s="95"/>
      <c r="H30" s="93"/>
      <c r="I30" s="97"/>
    </row>
    <row r="31" spans="1:9" ht="18.75" customHeight="1">
      <c r="A31" s="669"/>
      <c r="B31" s="93">
        <f>B32+B35+B38</f>
        <v>2136194110</v>
      </c>
      <c r="C31" s="106" t="s">
        <v>179</v>
      </c>
      <c r="D31" s="93">
        <f>D32+D35+D38</f>
        <v>2838101000</v>
      </c>
      <c r="E31" s="93">
        <f>E32+E35+E38</f>
        <v>3065155726</v>
      </c>
      <c r="F31" s="95"/>
      <c r="G31" s="95"/>
      <c r="H31" s="93">
        <f>E31</f>
        <v>3065155726</v>
      </c>
      <c r="I31" s="97"/>
    </row>
    <row r="32" spans="1:9" ht="18.75" customHeight="1">
      <c r="A32" s="669"/>
      <c r="B32" s="107">
        <f>B33+B34</f>
        <v>450000000</v>
      </c>
      <c r="C32" s="106" t="s">
        <v>212</v>
      </c>
      <c r="D32" s="93">
        <f>SUM(D33)</f>
        <v>450000000</v>
      </c>
      <c r="E32" s="93">
        <f>SUM(E33:E34)</f>
        <v>450000000</v>
      </c>
      <c r="F32" s="95"/>
      <c r="G32" s="95"/>
      <c r="H32" s="93">
        <f t="shared" si="1"/>
        <v>450000000</v>
      </c>
      <c r="I32" s="97"/>
    </row>
    <row r="33" spans="1:9" ht="27" customHeight="1">
      <c r="A33" s="669"/>
      <c r="B33" s="105">
        <v>450000000</v>
      </c>
      <c r="C33" s="106" t="s">
        <v>526</v>
      </c>
      <c r="D33" s="93">
        <v>450000000</v>
      </c>
      <c r="E33" s="93">
        <f>'盈虧撥補'!D13</f>
        <v>450000000</v>
      </c>
      <c r="F33" s="95"/>
      <c r="G33" s="95"/>
      <c r="H33" s="93">
        <f t="shared" si="1"/>
        <v>450000000</v>
      </c>
      <c r="I33" s="97"/>
    </row>
    <row r="34" spans="1:9" ht="25.5" customHeight="1">
      <c r="A34" s="669"/>
      <c r="B34" s="107">
        <v>0</v>
      </c>
      <c r="C34" s="106" t="s">
        <v>527</v>
      </c>
      <c r="D34" s="108">
        <v>0</v>
      </c>
      <c r="E34" s="108">
        <f>'盈虧撥補'!D14</f>
        <v>0</v>
      </c>
      <c r="F34" s="109"/>
      <c r="G34" s="109"/>
      <c r="H34" s="108">
        <f t="shared" si="1"/>
        <v>0</v>
      </c>
      <c r="I34" s="97"/>
    </row>
    <row r="35" spans="1:9" ht="18.75" customHeight="1">
      <c r="A35" s="669"/>
      <c r="B35" s="107">
        <f>B36+B37</f>
        <v>15750</v>
      </c>
      <c r="C35" s="106" t="s">
        <v>213</v>
      </c>
      <c r="D35" s="93">
        <f>SUM(D36)</f>
        <v>18000</v>
      </c>
      <c r="E35" s="93">
        <f>SUM(E36:E37)</f>
        <v>15750</v>
      </c>
      <c r="F35" s="95"/>
      <c r="G35" s="95"/>
      <c r="H35" s="93">
        <f t="shared" si="1"/>
        <v>15750</v>
      </c>
      <c r="I35" s="97"/>
    </row>
    <row r="36" spans="1:9" ht="30" customHeight="1">
      <c r="A36" s="669"/>
      <c r="B36" s="105">
        <v>15750</v>
      </c>
      <c r="C36" s="106" t="s">
        <v>528</v>
      </c>
      <c r="D36" s="93">
        <v>18000</v>
      </c>
      <c r="E36" s="93">
        <f>'盈虧撥補'!D16</f>
        <v>15750</v>
      </c>
      <c r="F36" s="95"/>
      <c r="G36" s="95"/>
      <c r="H36" s="93">
        <f t="shared" si="1"/>
        <v>15750</v>
      </c>
      <c r="I36" s="97"/>
    </row>
    <row r="37" spans="1:9" ht="24" customHeight="1">
      <c r="A37" s="669"/>
      <c r="B37" s="107">
        <v>0</v>
      </c>
      <c r="C37" s="106" t="s">
        <v>527</v>
      </c>
      <c r="D37" s="108">
        <v>0</v>
      </c>
      <c r="E37" s="108">
        <f>'盈虧撥補'!D17</f>
        <v>0</v>
      </c>
      <c r="F37" s="109"/>
      <c r="G37" s="109"/>
      <c r="H37" s="108">
        <f t="shared" si="1"/>
        <v>0</v>
      </c>
      <c r="I37" s="97"/>
    </row>
    <row r="38" spans="1:9" ht="18.75" customHeight="1">
      <c r="A38" s="669"/>
      <c r="B38" s="93">
        <f>B39+B40</f>
        <v>1686178360</v>
      </c>
      <c r="C38" s="106" t="s">
        <v>214</v>
      </c>
      <c r="D38" s="93">
        <f>D39+D40</f>
        <v>2388083000</v>
      </c>
      <c r="E38" s="93">
        <f>E39+E40</f>
        <v>2615139976</v>
      </c>
      <c r="F38" s="95"/>
      <c r="G38" s="95"/>
      <c r="H38" s="93">
        <f t="shared" si="1"/>
        <v>2615139976</v>
      </c>
      <c r="I38" s="97"/>
    </row>
    <row r="39" spans="1:9" ht="18.75" customHeight="1">
      <c r="A39" s="670"/>
      <c r="B39" s="105">
        <v>74545117</v>
      </c>
      <c r="C39" s="106" t="s">
        <v>259</v>
      </c>
      <c r="D39" s="93">
        <v>65897000</v>
      </c>
      <c r="E39" s="93">
        <f>'盈虧撥補'!D21</f>
        <v>75146948</v>
      </c>
      <c r="F39" s="95"/>
      <c r="G39" s="95"/>
      <c r="H39" s="93">
        <f t="shared" si="1"/>
        <v>75146948</v>
      </c>
      <c r="I39" s="97"/>
    </row>
    <row r="40" spans="1:9" ht="18.75" customHeight="1">
      <c r="A40" s="670"/>
      <c r="B40" s="105">
        <v>1611633243</v>
      </c>
      <c r="C40" s="106" t="s">
        <v>215</v>
      </c>
      <c r="D40" s="93">
        <v>2322186000</v>
      </c>
      <c r="E40" s="93">
        <f>'盈虧撥補'!D23</f>
        <v>2539993028</v>
      </c>
      <c r="F40" s="95"/>
      <c r="G40" s="95"/>
      <c r="H40" s="99">
        <f t="shared" si="1"/>
        <v>2539993028</v>
      </c>
      <c r="I40" s="97"/>
    </row>
    <row r="41" spans="1:9" ht="19.5" customHeight="1">
      <c r="A41" s="668" t="s">
        <v>308</v>
      </c>
      <c r="B41" s="102"/>
      <c r="C41" s="110" t="s">
        <v>180</v>
      </c>
      <c r="D41" s="102"/>
      <c r="E41" s="102"/>
      <c r="F41" s="104"/>
      <c r="G41" s="104"/>
      <c r="H41" s="93"/>
      <c r="I41" s="97"/>
    </row>
    <row r="42" spans="1:9" ht="19.5" customHeight="1">
      <c r="A42" s="672"/>
      <c r="B42" s="96">
        <v>745451174</v>
      </c>
      <c r="C42" s="106" t="s">
        <v>217</v>
      </c>
      <c r="D42" s="93">
        <v>658974000</v>
      </c>
      <c r="E42" s="93">
        <f>'現金機關'!C7</f>
        <v>751469483</v>
      </c>
      <c r="F42" s="95"/>
      <c r="G42" s="95"/>
      <c r="H42" s="93">
        <f t="shared" si="0"/>
        <v>751469483</v>
      </c>
      <c r="I42" s="97"/>
    </row>
    <row r="43" spans="1:9" ht="19.5" customHeight="1">
      <c r="A43" s="672"/>
      <c r="B43" s="96">
        <v>-600915371</v>
      </c>
      <c r="C43" s="106" t="s">
        <v>218</v>
      </c>
      <c r="D43" s="93">
        <v>-263784000</v>
      </c>
      <c r="E43" s="93">
        <f>'現金機關'!C8</f>
        <v>-19242304</v>
      </c>
      <c r="F43" s="95"/>
      <c r="G43" s="95"/>
      <c r="H43" s="93">
        <f t="shared" si="0"/>
        <v>-19242304</v>
      </c>
      <c r="I43" s="97"/>
    </row>
    <row r="44" spans="1:9" ht="19.5" customHeight="1">
      <c r="A44" s="672"/>
      <c r="B44" s="93">
        <f>SUM(B42:B43)</f>
        <v>144535803</v>
      </c>
      <c r="C44" s="111" t="s">
        <v>321</v>
      </c>
      <c r="D44" s="93">
        <f>D43+D42</f>
        <v>395190000</v>
      </c>
      <c r="E44" s="93">
        <f>E43+E42</f>
        <v>732227179</v>
      </c>
      <c r="F44" s="95"/>
      <c r="G44" s="95"/>
      <c r="H44" s="93">
        <f t="shared" si="0"/>
        <v>732227179</v>
      </c>
      <c r="I44" s="97"/>
    </row>
    <row r="45" spans="1:9" ht="19.5" customHeight="1">
      <c r="A45" s="672"/>
      <c r="B45" s="93"/>
      <c r="C45" s="106" t="s">
        <v>1</v>
      </c>
      <c r="D45" s="107"/>
      <c r="E45" s="107"/>
      <c r="F45" s="112"/>
      <c r="G45" s="112"/>
      <c r="H45" s="107"/>
      <c r="I45" s="97"/>
    </row>
    <row r="46" spans="1:9" ht="19.5" customHeight="1">
      <c r="A46" s="672"/>
      <c r="B46" s="108">
        <v>0</v>
      </c>
      <c r="C46" s="106" t="s">
        <v>231</v>
      </c>
      <c r="D46" s="107">
        <v>0</v>
      </c>
      <c r="E46" s="107">
        <f>'現金機關'!C22</f>
        <v>0</v>
      </c>
      <c r="F46" s="112"/>
      <c r="G46" s="112"/>
      <c r="H46" s="107">
        <f>E46</f>
        <v>0</v>
      </c>
      <c r="I46" s="97"/>
    </row>
    <row r="47" spans="1:9" ht="19.5" customHeight="1">
      <c r="A47" s="672"/>
      <c r="B47" s="113">
        <v>-13596768</v>
      </c>
      <c r="C47" s="111" t="s">
        <v>219</v>
      </c>
      <c r="D47" s="93">
        <v>-7220000</v>
      </c>
      <c r="E47" s="93">
        <f>'現金機關'!C23</f>
        <v>11772384</v>
      </c>
      <c r="F47" s="95"/>
      <c r="G47" s="95"/>
      <c r="H47" s="93">
        <f t="shared" si="0"/>
        <v>11772384</v>
      </c>
      <c r="I47" s="97"/>
    </row>
    <row r="48" spans="1:9" ht="19.5" customHeight="1">
      <c r="A48" s="672"/>
      <c r="B48" s="108">
        <v>0</v>
      </c>
      <c r="C48" s="106" t="s">
        <v>220</v>
      </c>
      <c r="D48" s="107">
        <v>0</v>
      </c>
      <c r="E48" s="107">
        <f>'現金機關'!C24</f>
        <v>0</v>
      </c>
      <c r="F48" s="112"/>
      <c r="G48" s="112"/>
      <c r="H48" s="107">
        <v>0</v>
      </c>
      <c r="I48" s="97"/>
    </row>
    <row r="49" spans="1:9" ht="19.5" customHeight="1">
      <c r="A49" s="672"/>
      <c r="B49" s="108">
        <v>0</v>
      </c>
      <c r="C49" s="106" t="s">
        <v>275</v>
      </c>
      <c r="D49" s="107">
        <v>0</v>
      </c>
      <c r="E49" s="107">
        <f>'現金機關'!C20</f>
        <v>0</v>
      </c>
      <c r="F49" s="112"/>
      <c r="G49" s="112"/>
      <c r="H49" s="107">
        <v>0</v>
      </c>
      <c r="I49" s="97"/>
    </row>
    <row r="50" spans="1:9" ht="19.5" customHeight="1">
      <c r="A50" s="672"/>
      <c r="B50" s="113">
        <v>-488291711</v>
      </c>
      <c r="C50" s="106" t="s">
        <v>221</v>
      </c>
      <c r="D50" s="93">
        <v>-1011245000</v>
      </c>
      <c r="E50" s="93">
        <f>'現金機關'!C26</f>
        <v>-635585749</v>
      </c>
      <c r="F50" s="95"/>
      <c r="G50" s="95"/>
      <c r="H50" s="93">
        <f t="shared" si="0"/>
        <v>-635585749</v>
      </c>
      <c r="I50" s="97"/>
    </row>
    <row r="51" spans="1:9" ht="19.5" customHeight="1">
      <c r="A51" s="672"/>
      <c r="B51" s="93">
        <f>SUM(B46:B50)</f>
        <v>-501888479</v>
      </c>
      <c r="C51" s="111" t="s">
        <v>222</v>
      </c>
      <c r="D51" s="93">
        <f>SUM(D46:D50)</f>
        <v>-1018465000</v>
      </c>
      <c r="E51" s="93">
        <f>SUM(E46:E50)</f>
        <v>-623813365</v>
      </c>
      <c r="F51" s="95"/>
      <c r="G51" s="95"/>
      <c r="H51" s="93">
        <f t="shared" si="0"/>
        <v>-623813365</v>
      </c>
      <c r="I51" s="97"/>
    </row>
    <row r="52" spans="1:9" ht="19.5" customHeight="1">
      <c r="A52" s="672"/>
      <c r="B52" s="93"/>
      <c r="C52" s="106" t="s">
        <v>181</v>
      </c>
      <c r="D52" s="93" t="s">
        <v>545</v>
      </c>
      <c r="E52" s="93" t="s">
        <v>139</v>
      </c>
      <c r="F52" s="95"/>
      <c r="G52" s="95"/>
      <c r="H52" s="93" t="str">
        <f t="shared" si="0"/>
        <v> </v>
      </c>
      <c r="I52" s="97"/>
    </row>
    <row r="53" spans="1:9" ht="19.5" customHeight="1">
      <c r="A53" s="672"/>
      <c r="B53" s="96">
        <v>-30545748</v>
      </c>
      <c r="C53" s="106" t="s">
        <v>224</v>
      </c>
      <c r="D53" s="93">
        <v>5850000</v>
      </c>
      <c r="E53" s="93">
        <f>'現金機關'!C30</f>
        <v>52475070</v>
      </c>
      <c r="F53" s="95"/>
      <c r="G53" s="95"/>
      <c r="H53" s="93">
        <f t="shared" si="0"/>
        <v>52475070</v>
      </c>
      <c r="I53" s="97"/>
    </row>
    <row r="54" spans="1:9" ht="19.5" customHeight="1">
      <c r="A54" s="672"/>
      <c r="B54" s="107">
        <v>0</v>
      </c>
      <c r="C54" s="111" t="s">
        <v>393</v>
      </c>
      <c r="D54" s="107">
        <v>500000000</v>
      </c>
      <c r="E54" s="107">
        <f>'現金機關'!C31</f>
        <v>500000000</v>
      </c>
      <c r="F54" s="112"/>
      <c r="G54" s="112"/>
      <c r="H54" s="107">
        <f t="shared" si="0"/>
        <v>500000000</v>
      </c>
      <c r="I54" s="97"/>
    </row>
    <row r="55" spans="1:9" ht="15" customHeight="1">
      <c r="A55" s="672"/>
      <c r="B55" s="93">
        <v>0</v>
      </c>
      <c r="C55" s="106" t="s">
        <v>225</v>
      </c>
      <c r="D55" s="93">
        <v>-450018000</v>
      </c>
      <c r="E55" s="114">
        <f>'現金機關'!C33</f>
        <v>0</v>
      </c>
      <c r="F55" s="95"/>
      <c r="G55" s="95"/>
      <c r="H55" s="114">
        <f t="shared" si="0"/>
        <v>0</v>
      </c>
      <c r="I55" s="97"/>
    </row>
    <row r="56" spans="1:9" ht="15" customHeight="1">
      <c r="A56" s="672"/>
      <c r="B56" s="93">
        <f>SUM(B53:B55)</f>
        <v>-30545748</v>
      </c>
      <c r="C56" s="111" t="s">
        <v>226</v>
      </c>
      <c r="D56" s="93">
        <f>SUM(D53:D55)</f>
        <v>55832000</v>
      </c>
      <c r="E56" s="93">
        <f>SUM(E53:E55)</f>
        <v>552475070</v>
      </c>
      <c r="F56" s="95"/>
      <c r="G56" s="95"/>
      <c r="H56" s="93">
        <f t="shared" si="0"/>
        <v>552475070</v>
      </c>
      <c r="I56" s="92"/>
    </row>
    <row r="57" spans="1:9" ht="15" customHeight="1">
      <c r="A57" s="672"/>
      <c r="B57" s="115">
        <v>-53797290</v>
      </c>
      <c r="C57" s="111" t="s">
        <v>354</v>
      </c>
      <c r="D57" s="107">
        <v>0</v>
      </c>
      <c r="E57" s="93">
        <f>'現金機關'!C35</f>
        <v>-5475980</v>
      </c>
      <c r="F57" s="95"/>
      <c r="G57" s="95"/>
      <c r="H57" s="93">
        <f t="shared" si="0"/>
        <v>-5475980</v>
      </c>
      <c r="I57" s="116"/>
    </row>
    <row r="58" spans="1:9" ht="15" customHeight="1">
      <c r="A58" s="672"/>
      <c r="B58" s="93">
        <f>B44+B51+B56+B57</f>
        <v>-441695714</v>
      </c>
      <c r="C58" s="94" t="s">
        <v>46</v>
      </c>
      <c r="D58" s="93">
        <f>D56+D51+D44</f>
        <v>-567443000</v>
      </c>
      <c r="E58" s="93">
        <f>E56+E51+E44+E57</f>
        <v>655412904</v>
      </c>
      <c r="F58" s="95"/>
      <c r="G58" s="95"/>
      <c r="H58" s="93">
        <f t="shared" si="0"/>
        <v>655412904</v>
      </c>
      <c r="I58" s="116"/>
    </row>
    <row r="59" spans="1:9" ht="15" customHeight="1">
      <c r="A59" s="672"/>
      <c r="B59" s="115">
        <v>867264331</v>
      </c>
      <c r="C59" s="94" t="s">
        <v>227</v>
      </c>
      <c r="D59" s="93">
        <v>807337000</v>
      </c>
      <c r="E59" s="93">
        <f>'現金機關'!C37</f>
        <v>425568617</v>
      </c>
      <c r="F59" s="95"/>
      <c r="G59" s="95"/>
      <c r="H59" s="93">
        <f t="shared" si="0"/>
        <v>425568617</v>
      </c>
      <c r="I59" s="116"/>
    </row>
    <row r="60" spans="1:9" ht="15" customHeight="1">
      <c r="A60" s="673"/>
      <c r="B60" s="99">
        <f>B58+B59</f>
        <v>425568617</v>
      </c>
      <c r="C60" s="100" t="s">
        <v>228</v>
      </c>
      <c r="D60" s="99">
        <f>D59+D58</f>
        <v>239894000</v>
      </c>
      <c r="E60" s="99">
        <f>E59+E58</f>
        <v>1080981521</v>
      </c>
      <c r="F60" s="101"/>
      <c r="G60" s="101"/>
      <c r="H60" s="99">
        <f>E60</f>
        <v>1080981521</v>
      </c>
      <c r="I60" s="116"/>
    </row>
    <row r="61" spans="1:9" ht="14.25" customHeight="1">
      <c r="A61" s="668" t="s">
        <v>309</v>
      </c>
      <c r="B61" s="102">
        <f>B62+B68+B77+B79</f>
        <v>11565707558</v>
      </c>
      <c r="C61" s="103" t="s">
        <v>185</v>
      </c>
      <c r="D61" s="102">
        <f>D62+D68+D77+D79</f>
        <v>11823172000</v>
      </c>
      <c r="E61" s="102">
        <f>E62+E68+E77+E79</f>
        <v>13001243702</v>
      </c>
      <c r="F61" s="104"/>
      <c r="G61" s="104"/>
      <c r="H61" s="102">
        <f>H62+H68+H77+H79</f>
        <v>13001243702</v>
      </c>
      <c r="I61" s="116"/>
    </row>
    <row r="62" spans="1:9" ht="14.25" customHeight="1">
      <c r="A62" s="672"/>
      <c r="B62" s="93">
        <f>SUM(B63:B67)</f>
        <v>7091402778</v>
      </c>
      <c r="C62" s="117" t="s">
        <v>635</v>
      </c>
      <c r="D62" s="93">
        <f>SUM(D63:D67)</f>
        <v>7018714000</v>
      </c>
      <c r="E62" s="93">
        <f>SUM(E63:E67)</f>
        <v>8314309532</v>
      </c>
      <c r="F62" s="95"/>
      <c r="G62" s="95"/>
      <c r="H62" s="93">
        <f>SUM(H63:H67)</f>
        <v>8314309532</v>
      </c>
      <c r="I62" s="116"/>
    </row>
    <row r="63" spans="1:9" ht="14.25" customHeight="1">
      <c r="A63" s="672"/>
      <c r="B63" s="105">
        <v>425568617</v>
      </c>
      <c r="C63" s="118" t="s">
        <v>636</v>
      </c>
      <c r="D63" s="93">
        <v>239894000</v>
      </c>
      <c r="E63" s="93">
        <f>'資產機關'!D9</f>
        <v>1080981521</v>
      </c>
      <c r="F63" s="95"/>
      <c r="G63" s="95"/>
      <c r="H63" s="93">
        <f>E63</f>
        <v>1080981521</v>
      </c>
      <c r="I63" s="116"/>
    </row>
    <row r="64" spans="1:9" ht="14.25" customHeight="1">
      <c r="A64" s="672"/>
      <c r="B64" s="105">
        <v>168768774</v>
      </c>
      <c r="C64" s="118" t="s">
        <v>637</v>
      </c>
      <c r="D64" s="93">
        <v>278999000</v>
      </c>
      <c r="E64" s="93">
        <f>'資產機關'!D10</f>
        <v>215081576</v>
      </c>
      <c r="F64" s="95"/>
      <c r="G64" s="95"/>
      <c r="H64" s="93">
        <f aca="true" t="shared" si="2" ref="H64:H87">E64</f>
        <v>215081576</v>
      </c>
      <c r="I64" s="116"/>
    </row>
    <row r="65" spans="1:9" ht="14.25" customHeight="1">
      <c r="A65" s="672"/>
      <c r="B65" s="105">
        <v>6452087406</v>
      </c>
      <c r="C65" s="118" t="s">
        <v>638</v>
      </c>
      <c r="D65" s="93">
        <v>6465912000</v>
      </c>
      <c r="E65" s="93">
        <f>'資產機關'!D11</f>
        <v>6952940337</v>
      </c>
      <c r="F65" s="95"/>
      <c r="G65" s="95"/>
      <c r="H65" s="93">
        <f t="shared" si="2"/>
        <v>6952940337</v>
      </c>
      <c r="I65" s="116"/>
    </row>
    <row r="66" spans="1:9" ht="14.25" customHeight="1">
      <c r="A66" s="672"/>
      <c r="B66" s="105">
        <v>44977981</v>
      </c>
      <c r="C66" s="118" t="s">
        <v>639</v>
      </c>
      <c r="D66" s="93">
        <v>33909000</v>
      </c>
      <c r="E66" s="93">
        <f>'資產機關'!D12</f>
        <v>65306098</v>
      </c>
      <c r="F66" s="95"/>
      <c r="G66" s="95"/>
      <c r="H66" s="93">
        <f t="shared" si="2"/>
        <v>65306098</v>
      </c>
      <c r="I66" s="116"/>
    </row>
    <row r="67" spans="1:9" ht="14.25" customHeight="1">
      <c r="A67" s="672"/>
      <c r="B67" s="105">
        <v>0</v>
      </c>
      <c r="C67" s="119" t="s">
        <v>209</v>
      </c>
      <c r="D67" s="123">
        <v>0</v>
      </c>
      <c r="E67" s="107">
        <f>'資產機關'!D13</f>
        <v>0</v>
      </c>
      <c r="F67" s="112"/>
      <c r="G67" s="112"/>
      <c r="H67" s="120">
        <f t="shared" si="2"/>
        <v>0</v>
      </c>
      <c r="I67" s="116"/>
    </row>
    <row r="68" spans="1:9" ht="14.25" customHeight="1">
      <c r="A68" s="672"/>
      <c r="B68" s="93">
        <f>SUM(B69:B76)</f>
        <v>4339760928</v>
      </c>
      <c r="C68" s="117" t="s">
        <v>640</v>
      </c>
      <c r="D68" s="93">
        <f>SUM(D69:D76)</f>
        <v>4647710000</v>
      </c>
      <c r="E68" s="93">
        <f>'資產機關'!D16</f>
        <v>4578450574</v>
      </c>
      <c r="F68" s="95"/>
      <c r="G68" s="95"/>
      <c r="H68" s="93">
        <f t="shared" si="2"/>
        <v>4578450574</v>
      </c>
      <c r="I68" s="116"/>
    </row>
    <row r="69" spans="1:9" ht="14.25" customHeight="1">
      <c r="A69" s="672"/>
      <c r="B69" s="105">
        <v>270843352</v>
      </c>
      <c r="C69" s="118" t="s">
        <v>641</v>
      </c>
      <c r="D69" s="93">
        <v>270843000</v>
      </c>
      <c r="E69" s="93">
        <f>'資產機關'!D17</f>
        <v>270843352</v>
      </c>
      <c r="F69" s="95"/>
      <c r="G69" s="95"/>
      <c r="H69" s="93">
        <f t="shared" si="2"/>
        <v>270843352</v>
      </c>
      <c r="I69" s="116"/>
    </row>
    <row r="70" spans="1:9" ht="14.25" customHeight="1">
      <c r="A70" s="672"/>
      <c r="B70" s="105">
        <v>33637166</v>
      </c>
      <c r="C70" s="118" t="s">
        <v>642</v>
      </c>
      <c r="D70" s="93">
        <v>52848000</v>
      </c>
      <c r="E70" s="93">
        <f>'資產機關'!D18</f>
        <v>47623960</v>
      </c>
      <c r="F70" s="95"/>
      <c r="G70" s="95"/>
      <c r="H70" s="93">
        <f t="shared" si="2"/>
        <v>47623960</v>
      </c>
      <c r="I70" s="116"/>
    </row>
    <row r="71" spans="1:9" ht="14.25" customHeight="1">
      <c r="A71" s="672"/>
      <c r="B71" s="105">
        <v>2002020400</v>
      </c>
      <c r="C71" s="118" t="s">
        <v>643</v>
      </c>
      <c r="D71" s="93">
        <v>2583257000</v>
      </c>
      <c r="E71" s="93">
        <f>'資產機關'!D19</f>
        <v>2441630628</v>
      </c>
      <c r="F71" s="95"/>
      <c r="G71" s="95"/>
      <c r="H71" s="93">
        <f t="shared" si="2"/>
        <v>2441630628</v>
      </c>
      <c r="I71" s="116"/>
    </row>
    <row r="72" spans="1:9" ht="14.25" customHeight="1">
      <c r="A72" s="672"/>
      <c r="B72" s="105">
        <v>1233420665</v>
      </c>
      <c r="C72" s="118" t="s">
        <v>644</v>
      </c>
      <c r="D72" s="93">
        <v>1474796000</v>
      </c>
      <c r="E72" s="93">
        <f>'資產機關'!D20</f>
        <v>1157081485</v>
      </c>
      <c r="F72" s="95"/>
      <c r="G72" s="95"/>
      <c r="H72" s="93">
        <f t="shared" si="2"/>
        <v>1157081485</v>
      </c>
      <c r="I72" s="116"/>
    </row>
    <row r="73" spans="1:9" ht="14.25" customHeight="1">
      <c r="A73" s="672"/>
      <c r="B73" s="105">
        <v>57502494</v>
      </c>
      <c r="C73" s="118" t="s">
        <v>645</v>
      </c>
      <c r="D73" s="93">
        <v>44980000</v>
      </c>
      <c r="E73" s="93">
        <f>'資產機關'!D21</f>
        <v>48766872</v>
      </c>
      <c r="F73" s="95"/>
      <c r="G73" s="95"/>
      <c r="H73" s="93">
        <f t="shared" si="2"/>
        <v>48766872</v>
      </c>
      <c r="I73" s="116"/>
    </row>
    <row r="74" spans="1:9" ht="14.25" customHeight="1">
      <c r="A74" s="672"/>
      <c r="B74" s="105">
        <v>56297398</v>
      </c>
      <c r="C74" s="118" t="s">
        <v>646</v>
      </c>
      <c r="D74" s="93">
        <v>86379000</v>
      </c>
      <c r="E74" s="93">
        <f>'資產機關'!D22</f>
        <v>71463963</v>
      </c>
      <c r="F74" s="95"/>
      <c r="G74" s="95"/>
      <c r="H74" s="93">
        <f t="shared" si="2"/>
        <v>71463963</v>
      </c>
      <c r="I74" s="116"/>
    </row>
    <row r="75" spans="1:9" ht="14.25" customHeight="1">
      <c r="A75" s="672"/>
      <c r="B75" s="105">
        <v>505534</v>
      </c>
      <c r="C75" s="118" t="s">
        <v>647</v>
      </c>
      <c r="D75" s="93">
        <v>1067000</v>
      </c>
      <c r="E75" s="107">
        <f>'資產機關'!D23</f>
        <v>1947997</v>
      </c>
      <c r="F75" s="112"/>
      <c r="G75" s="112"/>
      <c r="H75" s="93">
        <f t="shared" si="2"/>
        <v>1947997</v>
      </c>
      <c r="I75" s="116"/>
    </row>
    <row r="76" spans="1:9" ht="14.25" customHeight="1">
      <c r="A76" s="672"/>
      <c r="B76" s="105">
        <v>685533919</v>
      </c>
      <c r="C76" s="121" t="s">
        <v>229</v>
      </c>
      <c r="D76" s="93">
        <v>133540000</v>
      </c>
      <c r="E76" s="93">
        <f>'資產機關'!D24</f>
        <v>539092317</v>
      </c>
      <c r="F76" s="95"/>
      <c r="G76" s="95"/>
      <c r="H76" s="93">
        <f t="shared" si="2"/>
        <v>539092317</v>
      </c>
      <c r="I76" s="116"/>
    </row>
    <row r="77" spans="1:9" ht="14.25" customHeight="1">
      <c r="A77" s="672"/>
      <c r="B77" s="93">
        <f>B78</f>
        <v>8169053</v>
      </c>
      <c r="C77" s="117" t="s">
        <v>648</v>
      </c>
      <c r="D77" s="93">
        <f>D78</f>
        <v>17396000</v>
      </c>
      <c r="E77" s="93">
        <f>'資產機關'!D25</f>
        <v>6697821</v>
      </c>
      <c r="F77" s="95"/>
      <c r="G77" s="95"/>
      <c r="H77" s="93">
        <f t="shared" si="2"/>
        <v>6697821</v>
      </c>
      <c r="I77" s="116"/>
    </row>
    <row r="78" spans="1:9" ht="14.25" customHeight="1">
      <c r="A78" s="672"/>
      <c r="B78" s="105">
        <v>8169053</v>
      </c>
      <c r="C78" s="118" t="s">
        <v>649</v>
      </c>
      <c r="D78" s="93">
        <v>17396000</v>
      </c>
      <c r="E78" s="93">
        <f>'資產機關'!D26</f>
        <v>6697821</v>
      </c>
      <c r="F78" s="95"/>
      <c r="G78" s="95"/>
      <c r="H78" s="93">
        <f t="shared" si="2"/>
        <v>6697821</v>
      </c>
      <c r="I78" s="116"/>
    </row>
    <row r="79" spans="1:9" ht="14.25" customHeight="1">
      <c r="A79" s="672"/>
      <c r="B79" s="93">
        <f>SUM(B80:B81)</f>
        <v>126374799</v>
      </c>
      <c r="C79" s="117" t="s">
        <v>650</v>
      </c>
      <c r="D79" s="93">
        <f>D80+D81</f>
        <v>139352000</v>
      </c>
      <c r="E79" s="93">
        <f>'資產機關'!D27</f>
        <v>101785775</v>
      </c>
      <c r="F79" s="95"/>
      <c r="G79" s="95"/>
      <c r="H79" s="93">
        <f t="shared" si="2"/>
        <v>101785775</v>
      </c>
      <c r="I79" s="116"/>
    </row>
    <row r="80" spans="1:9" ht="14.25" customHeight="1">
      <c r="A80" s="672"/>
      <c r="B80" s="105">
        <v>33890288</v>
      </c>
      <c r="C80" s="118" t="s">
        <v>651</v>
      </c>
      <c r="D80" s="93">
        <v>36370000</v>
      </c>
      <c r="E80" s="93">
        <f>'資產機關'!D29</f>
        <v>20802828</v>
      </c>
      <c r="F80" s="95"/>
      <c r="G80" s="95"/>
      <c r="H80" s="93">
        <f t="shared" si="2"/>
        <v>20802828</v>
      </c>
      <c r="I80" s="122"/>
    </row>
    <row r="81" spans="1:9" ht="14.25" customHeight="1">
      <c r="A81" s="672"/>
      <c r="B81" s="105">
        <v>92484511</v>
      </c>
      <c r="C81" s="119" t="s">
        <v>261</v>
      </c>
      <c r="D81" s="93">
        <v>102982000</v>
      </c>
      <c r="E81" s="93">
        <f>'資產機關'!D30</f>
        <v>80982947</v>
      </c>
      <c r="F81" s="112"/>
      <c r="G81" s="112"/>
      <c r="H81" s="93">
        <f t="shared" si="2"/>
        <v>80982947</v>
      </c>
      <c r="I81" s="122"/>
    </row>
    <row r="82" spans="1:9" ht="14.25" customHeight="1">
      <c r="A82" s="672"/>
      <c r="B82" s="93">
        <f>B61</f>
        <v>11565707558</v>
      </c>
      <c r="C82" s="117" t="s">
        <v>652</v>
      </c>
      <c r="D82" s="93">
        <f>D61</f>
        <v>11823172000</v>
      </c>
      <c r="E82" s="93">
        <f>'資產機關'!D31</f>
        <v>13001243702</v>
      </c>
      <c r="F82" s="95"/>
      <c r="G82" s="95"/>
      <c r="H82" s="93">
        <f t="shared" si="2"/>
        <v>13001243702</v>
      </c>
      <c r="I82" s="122"/>
    </row>
    <row r="83" spans="1:9" ht="14.25" customHeight="1">
      <c r="A83" s="672"/>
      <c r="B83" s="93">
        <f>B84+B88+B90</f>
        <v>2367669696</v>
      </c>
      <c r="C83" s="117" t="s">
        <v>653</v>
      </c>
      <c r="D83" s="93">
        <f>D84+D88+D90</f>
        <v>2063584000</v>
      </c>
      <c r="E83" s="93">
        <f>E84+E88+E90</f>
        <v>3007228087</v>
      </c>
      <c r="F83" s="95"/>
      <c r="G83" s="95"/>
      <c r="H83" s="93">
        <f t="shared" si="2"/>
        <v>3007228087</v>
      </c>
      <c r="I83" s="122"/>
    </row>
    <row r="84" spans="1:9" ht="14.25" customHeight="1">
      <c r="A84" s="672"/>
      <c r="B84" s="93">
        <f>B85+B86+B87</f>
        <v>1512388445</v>
      </c>
      <c r="C84" s="117" t="s">
        <v>654</v>
      </c>
      <c r="D84" s="93">
        <f>D85+D86</f>
        <v>1380996000</v>
      </c>
      <c r="E84" s="93">
        <f>'資產機關'!D33</f>
        <v>2140253594</v>
      </c>
      <c r="F84" s="95"/>
      <c r="G84" s="95"/>
      <c r="H84" s="93">
        <f t="shared" si="2"/>
        <v>2140253594</v>
      </c>
      <c r="I84" s="122"/>
    </row>
    <row r="85" spans="1:9" ht="14.25" customHeight="1">
      <c r="A85" s="672"/>
      <c r="B85" s="105">
        <v>1352592788</v>
      </c>
      <c r="C85" s="118" t="s">
        <v>655</v>
      </c>
      <c r="D85" s="93">
        <v>1325534000</v>
      </c>
      <c r="E85" s="93">
        <f>'資產機關'!D34</f>
        <v>1781395372</v>
      </c>
      <c r="F85" s="95"/>
      <c r="G85" s="95"/>
      <c r="H85" s="93">
        <f t="shared" si="2"/>
        <v>1781395372</v>
      </c>
      <c r="I85" s="122"/>
    </row>
    <row r="86" spans="1:9" ht="14.25" customHeight="1">
      <c r="A86" s="672"/>
      <c r="B86" s="105">
        <v>159795657</v>
      </c>
      <c r="C86" s="118" t="s">
        <v>656</v>
      </c>
      <c r="D86" s="93">
        <v>55462000</v>
      </c>
      <c r="E86" s="93">
        <f>'資產機關'!D35</f>
        <v>358858222</v>
      </c>
      <c r="F86" s="95"/>
      <c r="G86" s="95"/>
      <c r="H86" s="93">
        <f t="shared" si="2"/>
        <v>358858222</v>
      </c>
      <c r="I86" s="122"/>
    </row>
    <row r="87" spans="1:9" ht="12.75" customHeight="1">
      <c r="A87" s="672"/>
      <c r="B87" s="123">
        <v>0</v>
      </c>
      <c r="C87" s="118" t="s">
        <v>657</v>
      </c>
      <c r="D87" s="124">
        <v>0</v>
      </c>
      <c r="E87" s="125">
        <f>'資產機關'!D36</f>
        <v>0</v>
      </c>
      <c r="F87" s="126"/>
      <c r="G87" s="126"/>
      <c r="H87" s="114">
        <f t="shared" si="2"/>
        <v>0</v>
      </c>
      <c r="I87" s="122"/>
    </row>
    <row r="88" spans="1:9" ht="14.25" customHeight="1">
      <c r="A88" s="672"/>
      <c r="B88" s="93">
        <f>B89</f>
        <v>393230287</v>
      </c>
      <c r="C88" s="117" t="s">
        <v>658</v>
      </c>
      <c r="D88" s="93">
        <f>D89</f>
        <v>398623000</v>
      </c>
      <c r="E88" s="93">
        <f>'資產機關'!D37</f>
        <v>352448459</v>
      </c>
      <c r="F88" s="95"/>
      <c r="G88" s="95"/>
      <c r="H88" s="93">
        <f aca="true" t="shared" si="3" ref="H88:H105">E88</f>
        <v>352448459</v>
      </c>
      <c r="I88" s="122"/>
    </row>
    <row r="89" spans="1:9" ht="14.25" customHeight="1">
      <c r="A89" s="672"/>
      <c r="B89" s="105">
        <v>393230287</v>
      </c>
      <c r="C89" s="118" t="s">
        <v>659</v>
      </c>
      <c r="D89" s="93">
        <v>398623000</v>
      </c>
      <c r="E89" s="93">
        <f>'資產機關'!D38</f>
        <v>352448459</v>
      </c>
      <c r="F89" s="95"/>
      <c r="G89" s="95"/>
      <c r="H89" s="93">
        <f t="shared" si="3"/>
        <v>352448459</v>
      </c>
      <c r="I89" s="122"/>
    </row>
    <row r="90" spans="1:9" ht="14.25" customHeight="1">
      <c r="A90" s="672"/>
      <c r="B90" s="93">
        <f>B91+B92+B93</f>
        <v>462050964</v>
      </c>
      <c r="C90" s="117" t="s">
        <v>660</v>
      </c>
      <c r="D90" s="93">
        <f>D91+D92</f>
        <v>283965000</v>
      </c>
      <c r="E90" s="93">
        <f>'資產機關'!D39</f>
        <v>514526034</v>
      </c>
      <c r="F90" s="95"/>
      <c r="G90" s="95"/>
      <c r="H90" s="93">
        <f t="shared" si="3"/>
        <v>514526034</v>
      </c>
      <c r="I90" s="122"/>
    </row>
    <row r="91" spans="1:9" ht="14.25" customHeight="1">
      <c r="A91" s="672"/>
      <c r="B91" s="105">
        <v>462050964</v>
      </c>
      <c r="C91" s="118" t="s">
        <v>661</v>
      </c>
      <c r="D91" s="93">
        <v>283965000</v>
      </c>
      <c r="E91" s="107">
        <f>'資產機關'!D41</f>
        <v>514526034</v>
      </c>
      <c r="F91" s="112"/>
      <c r="G91" s="112"/>
      <c r="H91" s="93">
        <f t="shared" si="3"/>
        <v>514526034</v>
      </c>
      <c r="I91" s="122"/>
    </row>
    <row r="92" spans="1:9" ht="14.25" customHeight="1">
      <c r="A92" s="672"/>
      <c r="B92" s="107">
        <v>0</v>
      </c>
      <c r="C92" s="118" t="s">
        <v>662</v>
      </c>
      <c r="D92" s="123">
        <v>0</v>
      </c>
      <c r="E92" s="127">
        <f>'資產機關'!D42</f>
        <v>0</v>
      </c>
      <c r="F92" s="128"/>
      <c r="G92" s="128"/>
      <c r="H92" s="120">
        <f t="shared" si="3"/>
        <v>0</v>
      </c>
      <c r="I92" s="122"/>
    </row>
    <row r="93" spans="1:9" ht="14.25" customHeight="1">
      <c r="A93" s="672"/>
      <c r="B93" s="107">
        <v>0</v>
      </c>
      <c r="C93" s="118" t="s">
        <v>663</v>
      </c>
      <c r="D93" s="120">
        <v>0</v>
      </c>
      <c r="E93" s="127">
        <v>0</v>
      </c>
      <c r="F93" s="128"/>
      <c r="G93" s="128"/>
      <c r="H93" s="120">
        <v>0</v>
      </c>
      <c r="I93" s="122"/>
    </row>
    <row r="94" spans="1:9" ht="14.25" customHeight="1">
      <c r="A94" s="672"/>
      <c r="B94" s="93">
        <f>B95+B97+B99+B102+B104</f>
        <v>9198037862</v>
      </c>
      <c r="C94" s="94" t="s">
        <v>250</v>
      </c>
      <c r="D94" s="93">
        <f>D95+D97+D99</f>
        <v>9759588000</v>
      </c>
      <c r="E94" s="107">
        <f>'資產機關'!D43</f>
        <v>9994015615</v>
      </c>
      <c r="F94" s="112"/>
      <c r="G94" s="112"/>
      <c r="H94" s="107">
        <f t="shared" si="3"/>
        <v>9994015615</v>
      </c>
      <c r="I94" s="122"/>
    </row>
    <row r="95" spans="1:9" ht="14.25" customHeight="1">
      <c r="A95" s="672"/>
      <c r="B95" s="93">
        <f>B96</f>
        <v>4450000000</v>
      </c>
      <c r="C95" s="117" t="s">
        <v>664</v>
      </c>
      <c r="D95" s="93">
        <f>D96</f>
        <v>4550000000</v>
      </c>
      <c r="E95" s="107">
        <f>'資產機關'!D44</f>
        <v>4550000000</v>
      </c>
      <c r="F95" s="112"/>
      <c r="G95" s="112"/>
      <c r="H95" s="107">
        <f t="shared" si="3"/>
        <v>4550000000</v>
      </c>
      <c r="I95" s="122"/>
    </row>
    <row r="96" spans="1:9" ht="14.25" customHeight="1">
      <c r="A96" s="672"/>
      <c r="B96" s="93">
        <v>4450000000</v>
      </c>
      <c r="C96" s="118" t="s">
        <v>665</v>
      </c>
      <c r="D96" s="93">
        <v>4550000000</v>
      </c>
      <c r="E96" s="107">
        <f>'資產機關'!D45</f>
        <v>4550000000</v>
      </c>
      <c r="F96" s="112"/>
      <c r="G96" s="112"/>
      <c r="H96" s="107">
        <f t="shared" si="3"/>
        <v>4550000000</v>
      </c>
      <c r="I96" s="122"/>
    </row>
    <row r="97" spans="1:9" ht="14.25" customHeight="1">
      <c r="A97" s="672"/>
      <c r="B97" s="93">
        <f>B98</f>
        <v>364304</v>
      </c>
      <c r="C97" s="117" t="s">
        <v>666</v>
      </c>
      <c r="D97" s="93">
        <f>D98</f>
        <v>400364000</v>
      </c>
      <c r="E97" s="107">
        <f>'資產機關'!D46</f>
        <v>400364304</v>
      </c>
      <c r="F97" s="112"/>
      <c r="G97" s="112"/>
      <c r="H97" s="107">
        <f t="shared" si="3"/>
        <v>400364304</v>
      </c>
      <c r="I97" s="122"/>
    </row>
    <row r="98" spans="1:9" ht="14.25" customHeight="1">
      <c r="A98" s="672"/>
      <c r="B98" s="93">
        <v>364304</v>
      </c>
      <c r="C98" s="118" t="s">
        <v>667</v>
      </c>
      <c r="D98" s="93">
        <v>400364000</v>
      </c>
      <c r="E98" s="107">
        <f>'資產機關'!D47</f>
        <v>400364304</v>
      </c>
      <c r="F98" s="112"/>
      <c r="G98" s="112"/>
      <c r="H98" s="107">
        <f t="shared" si="3"/>
        <v>400364304</v>
      </c>
      <c r="I98" s="122"/>
    </row>
    <row r="99" spans="1:9" ht="14.25" customHeight="1">
      <c r="A99" s="672"/>
      <c r="B99" s="93">
        <f>SUM(B100:B101)</f>
        <v>4749777786</v>
      </c>
      <c r="C99" s="117" t="s">
        <v>668</v>
      </c>
      <c r="D99" s="93">
        <f>SUM(D100:D101)</f>
        <v>4809224000</v>
      </c>
      <c r="E99" s="107">
        <f>'資產機關'!D48</f>
        <v>5051231519</v>
      </c>
      <c r="F99" s="112"/>
      <c r="G99" s="112"/>
      <c r="H99" s="107">
        <f t="shared" si="3"/>
        <v>5051231519</v>
      </c>
      <c r="I99" s="122"/>
    </row>
    <row r="100" spans="1:9" ht="14.25" customHeight="1">
      <c r="A100" s="672"/>
      <c r="B100" s="105">
        <v>3138144543</v>
      </c>
      <c r="C100" s="118" t="s">
        <v>669</v>
      </c>
      <c r="D100" s="93">
        <v>2487038000</v>
      </c>
      <c r="E100" s="107">
        <f>'資產機關'!D49</f>
        <v>2511238491</v>
      </c>
      <c r="F100" s="112"/>
      <c r="G100" s="112"/>
      <c r="H100" s="107">
        <f t="shared" si="3"/>
        <v>2511238491</v>
      </c>
      <c r="I100" s="122"/>
    </row>
    <row r="101" spans="1:9" ht="14.25" customHeight="1">
      <c r="A101" s="672"/>
      <c r="B101" s="105">
        <v>1611633243</v>
      </c>
      <c r="C101" s="118" t="s">
        <v>670</v>
      </c>
      <c r="D101" s="93">
        <v>2322186000</v>
      </c>
      <c r="E101" s="107">
        <f>'資產機關'!D50</f>
        <v>2539993028</v>
      </c>
      <c r="F101" s="112"/>
      <c r="G101" s="112"/>
      <c r="H101" s="107">
        <f t="shared" si="3"/>
        <v>2539993028</v>
      </c>
      <c r="I101" s="122"/>
    </row>
    <row r="102" spans="1:9" ht="14.25" customHeight="1">
      <c r="A102" s="672"/>
      <c r="B102" s="93">
        <f>B103</f>
        <v>-2104228</v>
      </c>
      <c r="C102" s="117" t="s">
        <v>671</v>
      </c>
      <c r="D102" s="107">
        <f>D103</f>
        <v>0</v>
      </c>
      <c r="E102" s="93">
        <f>E103</f>
        <v>-7580208</v>
      </c>
      <c r="F102" s="112"/>
      <c r="G102" s="112"/>
      <c r="H102" s="93">
        <f t="shared" si="3"/>
        <v>-7580208</v>
      </c>
      <c r="I102" s="122"/>
    </row>
    <row r="103" spans="1:9" ht="14.25" customHeight="1">
      <c r="A103" s="672"/>
      <c r="B103" s="96">
        <v>-2104228</v>
      </c>
      <c r="C103" s="118" t="s">
        <v>672</v>
      </c>
      <c r="D103" s="107">
        <v>0</v>
      </c>
      <c r="E103" s="93">
        <f>'資產機關'!D53</f>
        <v>-7580208</v>
      </c>
      <c r="F103" s="112"/>
      <c r="G103" s="112"/>
      <c r="H103" s="93">
        <f t="shared" si="3"/>
        <v>-7580208</v>
      </c>
      <c r="I103" s="122"/>
    </row>
    <row r="104" spans="1:9" ht="14.25" customHeight="1">
      <c r="A104" s="672"/>
      <c r="B104" s="129">
        <v>0</v>
      </c>
      <c r="C104" s="130" t="s">
        <v>374</v>
      </c>
      <c r="D104" s="129">
        <v>0</v>
      </c>
      <c r="E104" s="107">
        <f>'資產機關'!D55</f>
        <v>0</v>
      </c>
      <c r="F104" s="112"/>
      <c r="G104" s="112"/>
      <c r="H104" s="107">
        <f t="shared" si="3"/>
        <v>0</v>
      </c>
      <c r="I104" s="122"/>
    </row>
    <row r="105" spans="1:8" ht="14.25" customHeight="1">
      <c r="A105" s="673"/>
      <c r="B105" s="131">
        <f>B94+B83</f>
        <v>11565707558</v>
      </c>
      <c r="C105" s="132" t="s">
        <v>251</v>
      </c>
      <c r="D105" s="131">
        <f>D94+D83</f>
        <v>11823172000</v>
      </c>
      <c r="E105" s="131">
        <f>E94+E83</f>
        <v>13001243702</v>
      </c>
      <c r="F105" s="131"/>
      <c r="G105" s="131"/>
      <c r="H105" s="99">
        <f t="shared" si="3"/>
        <v>13001243702</v>
      </c>
    </row>
    <row r="106" ht="16.5">
      <c r="B106" s="133"/>
    </row>
  </sheetData>
  <sheetProtection/>
  <mergeCells count="12">
    <mergeCell ref="A5:A26"/>
    <mergeCell ref="A27:A40"/>
    <mergeCell ref="A41:A60"/>
    <mergeCell ref="A61:A105"/>
    <mergeCell ref="A1:H1"/>
    <mergeCell ref="C2:F2"/>
    <mergeCell ref="F3:G3"/>
    <mergeCell ref="H3:H4"/>
    <mergeCell ref="A3:A4"/>
    <mergeCell ref="C3:C4"/>
    <mergeCell ref="D3:D4"/>
    <mergeCell ref="E3:E4"/>
  </mergeCells>
  <printOptions horizontalCentered="1" verticalCentered="1"/>
  <pageMargins left="0.5118110236220472" right="0.5118110236220472" top="0.5905511811023623" bottom="0.5905511811023623" header="0" footer="0.31496062992125984"/>
  <pageSetup firstPageNumber="39" useFirstPageNumber="1" horizontalDpi="600" verticalDpi="600" orientation="portrait" pageOrder="overThenDown" paperSize="9" r:id="rId1"/>
  <headerFooter alignWithMargins="0">
    <oddFooter xml:space="preserve">&amp;C&amp;P </oddFooter>
  </headerFooter>
  <rowBreaks count="2" manualBreakCount="2">
    <brk id="26" max="255" man="1"/>
    <brk id="6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6.5"/>
  <cols>
    <col min="1" max="1" width="5.25390625" style="53" customWidth="1"/>
    <col min="2" max="2" width="11.125" style="53" customWidth="1"/>
    <col min="3" max="3" width="31.50390625" style="53" customWidth="1"/>
    <col min="4" max="4" width="9.00390625" style="53" customWidth="1"/>
    <col min="5" max="5" width="9.375" style="53" customWidth="1"/>
    <col min="6" max="7" width="5.12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437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C2" s="663" t="s">
        <v>560</v>
      </c>
      <c r="D2" s="663"/>
      <c r="E2" s="663"/>
      <c r="F2" s="663"/>
      <c r="H2" s="82" t="s">
        <v>99</v>
      </c>
    </row>
    <row r="3" spans="1:8" ht="27" customHeight="1">
      <c r="A3" s="666" t="s">
        <v>161</v>
      </c>
      <c r="B3" s="84" t="s">
        <v>162</v>
      </c>
      <c r="C3" s="667" t="s">
        <v>163</v>
      </c>
      <c r="D3" s="667" t="s">
        <v>74</v>
      </c>
      <c r="E3" s="667" t="s">
        <v>164</v>
      </c>
      <c r="F3" s="664" t="s">
        <v>165</v>
      </c>
      <c r="G3" s="665"/>
      <c r="H3" s="666" t="s">
        <v>166</v>
      </c>
    </row>
    <row r="4" spans="1:8" ht="27" customHeight="1">
      <c r="A4" s="666"/>
      <c r="B4" s="85" t="s">
        <v>96</v>
      </c>
      <c r="C4" s="667"/>
      <c r="D4" s="667"/>
      <c r="E4" s="667"/>
      <c r="F4" s="134" t="s">
        <v>466</v>
      </c>
      <c r="G4" s="86" t="s">
        <v>168</v>
      </c>
      <c r="H4" s="666"/>
    </row>
    <row r="5" spans="1:9" ht="27" customHeight="1">
      <c r="A5" s="668" t="s">
        <v>306</v>
      </c>
      <c r="B5" s="102"/>
      <c r="C5" s="135" t="s">
        <v>169</v>
      </c>
      <c r="D5" s="136"/>
      <c r="E5" s="136"/>
      <c r="F5" s="137"/>
      <c r="G5" s="137"/>
      <c r="H5" s="136"/>
      <c r="I5" s="92"/>
    </row>
    <row r="6" spans="1:9" ht="27" customHeight="1">
      <c r="A6" s="669"/>
      <c r="B6" s="93">
        <f>SUM(B7:B8)</f>
        <v>165715792</v>
      </c>
      <c r="C6" s="138" t="s">
        <v>47</v>
      </c>
      <c r="D6" s="93">
        <f>D7+D8</f>
        <v>240310000</v>
      </c>
      <c r="E6" s="93">
        <f>E7+E8</f>
        <v>151242144</v>
      </c>
      <c r="F6" s="95"/>
      <c r="G6" s="95"/>
      <c r="H6" s="93">
        <f aca="true" t="shared" si="0" ref="H6:H28">E6</f>
        <v>151242144</v>
      </c>
      <c r="I6" s="92"/>
    </row>
    <row r="7" spans="1:9" ht="27" customHeight="1">
      <c r="A7" s="670"/>
      <c r="B7" s="96">
        <v>159387122</v>
      </c>
      <c r="C7" s="138" t="s">
        <v>48</v>
      </c>
      <c r="D7" s="93">
        <v>224595000</v>
      </c>
      <c r="E7" s="93">
        <f>'損益機關'!F8</f>
        <v>141489979</v>
      </c>
      <c r="F7" s="95"/>
      <c r="G7" s="95"/>
      <c r="H7" s="93">
        <f t="shared" si="0"/>
        <v>141489979</v>
      </c>
      <c r="I7" s="97"/>
    </row>
    <row r="8" spans="1:9" ht="27" customHeight="1">
      <c r="A8" s="670"/>
      <c r="B8" s="96">
        <v>6328670</v>
      </c>
      <c r="C8" s="138" t="s">
        <v>197</v>
      </c>
      <c r="D8" s="93">
        <v>15715000</v>
      </c>
      <c r="E8" s="93">
        <f>'損益機關'!F12</f>
        <v>9752165</v>
      </c>
      <c r="F8" s="95"/>
      <c r="G8" s="95"/>
      <c r="H8" s="93">
        <f t="shared" si="0"/>
        <v>9752165</v>
      </c>
      <c r="I8" s="97"/>
    </row>
    <row r="9" spans="1:9" ht="27" customHeight="1">
      <c r="A9" s="670"/>
      <c r="B9" s="93">
        <f>B10+B11</f>
        <v>147316367</v>
      </c>
      <c r="C9" s="138" t="s">
        <v>52</v>
      </c>
      <c r="D9" s="93">
        <f>D10+D11</f>
        <v>193250000</v>
      </c>
      <c r="E9" s="93">
        <f>E10+E11</f>
        <v>162916245</v>
      </c>
      <c r="F9" s="95"/>
      <c r="G9" s="95"/>
      <c r="H9" s="93">
        <f t="shared" si="0"/>
        <v>162916245</v>
      </c>
      <c r="I9" s="97"/>
    </row>
    <row r="10" spans="1:9" ht="27" customHeight="1">
      <c r="A10" s="670"/>
      <c r="B10" s="96">
        <v>142154348</v>
      </c>
      <c r="C10" s="138" t="s">
        <v>53</v>
      </c>
      <c r="D10" s="93">
        <v>179340000</v>
      </c>
      <c r="E10" s="93">
        <f>'損益機關'!F14</f>
        <v>154959995</v>
      </c>
      <c r="F10" s="95"/>
      <c r="G10" s="95"/>
      <c r="H10" s="93">
        <f t="shared" si="0"/>
        <v>154959995</v>
      </c>
      <c r="I10" s="97"/>
    </row>
    <row r="11" spans="1:9" ht="27" customHeight="1">
      <c r="A11" s="670"/>
      <c r="B11" s="96">
        <v>5162019</v>
      </c>
      <c r="C11" s="138" t="s">
        <v>56</v>
      </c>
      <c r="D11" s="93">
        <v>13910000</v>
      </c>
      <c r="E11" s="93">
        <f>'損益機關'!F19</f>
        <v>7956250</v>
      </c>
      <c r="F11" s="95"/>
      <c r="G11" s="95"/>
      <c r="H11" s="93">
        <f t="shared" si="0"/>
        <v>7956250</v>
      </c>
      <c r="I11" s="97"/>
    </row>
    <row r="12" spans="1:9" ht="27" customHeight="1">
      <c r="A12" s="670"/>
      <c r="B12" s="93">
        <f>B6-B9</f>
        <v>18399425</v>
      </c>
      <c r="C12" s="138" t="s">
        <v>170</v>
      </c>
      <c r="D12" s="93">
        <f>D6-D9</f>
        <v>47060000</v>
      </c>
      <c r="E12" s="93">
        <f>E6-E9</f>
        <v>-11674101</v>
      </c>
      <c r="F12" s="95"/>
      <c r="G12" s="95"/>
      <c r="H12" s="93">
        <f t="shared" si="0"/>
        <v>-11674101</v>
      </c>
      <c r="I12" s="97"/>
    </row>
    <row r="13" spans="1:9" ht="27" customHeight="1">
      <c r="A13" s="670"/>
      <c r="B13" s="93">
        <f>SUM(B14:B16)</f>
        <v>29473249</v>
      </c>
      <c r="C13" s="138" t="s">
        <v>247</v>
      </c>
      <c r="D13" s="93">
        <f>SUM(D14:D16)</f>
        <v>47734000</v>
      </c>
      <c r="E13" s="93">
        <f>SUM(E14:E16)</f>
        <v>38140430</v>
      </c>
      <c r="F13" s="95"/>
      <c r="G13" s="95"/>
      <c r="H13" s="93">
        <f t="shared" si="0"/>
        <v>38140430</v>
      </c>
      <c r="I13" s="97"/>
    </row>
    <row r="14" spans="1:9" ht="27" customHeight="1">
      <c r="A14" s="670"/>
      <c r="B14" s="96">
        <v>3142948</v>
      </c>
      <c r="C14" s="138" t="s">
        <v>171</v>
      </c>
      <c r="D14" s="93">
        <v>4060000</v>
      </c>
      <c r="E14" s="93">
        <f>'損益機關'!F22</f>
        <v>3330125</v>
      </c>
      <c r="F14" s="95"/>
      <c r="G14" s="95"/>
      <c r="H14" s="93">
        <f t="shared" si="0"/>
        <v>3330125</v>
      </c>
      <c r="I14" s="97"/>
    </row>
    <row r="15" spans="1:9" ht="27" customHeight="1">
      <c r="A15" s="670"/>
      <c r="B15" s="96">
        <v>23189214</v>
      </c>
      <c r="C15" s="138" t="s">
        <v>172</v>
      </c>
      <c r="D15" s="93">
        <v>39341000</v>
      </c>
      <c r="E15" s="93">
        <f>'損益機關'!F24</f>
        <v>31875556</v>
      </c>
      <c r="F15" s="95"/>
      <c r="G15" s="95"/>
      <c r="H15" s="93">
        <f t="shared" si="0"/>
        <v>31875556</v>
      </c>
      <c r="I15" s="97"/>
    </row>
    <row r="16" spans="1:9" ht="27" customHeight="1">
      <c r="A16" s="670"/>
      <c r="B16" s="96">
        <v>3141087</v>
      </c>
      <c r="C16" s="138" t="s">
        <v>210</v>
      </c>
      <c r="D16" s="93">
        <v>4333000</v>
      </c>
      <c r="E16" s="93">
        <f>'損益機關'!F25</f>
        <v>2934749</v>
      </c>
      <c r="F16" s="95"/>
      <c r="G16" s="95"/>
      <c r="H16" s="93">
        <f t="shared" si="0"/>
        <v>2934749</v>
      </c>
      <c r="I16" s="97"/>
    </row>
    <row r="17" spans="1:9" ht="27" customHeight="1">
      <c r="A17" s="670"/>
      <c r="B17" s="93">
        <f>B12-B13</f>
        <v>-11073824</v>
      </c>
      <c r="C17" s="138" t="s">
        <v>248</v>
      </c>
      <c r="D17" s="93">
        <f>D12-D13</f>
        <v>-674000</v>
      </c>
      <c r="E17" s="93">
        <f>E12-E13</f>
        <v>-49814531</v>
      </c>
      <c r="F17" s="95"/>
      <c r="G17" s="95"/>
      <c r="H17" s="93">
        <f t="shared" si="0"/>
        <v>-49814531</v>
      </c>
      <c r="I17" s="97"/>
    </row>
    <row r="18" spans="1:9" ht="27" customHeight="1">
      <c r="A18" s="670"/>
      <c r="B18" s="93"/>
      <c r="C18" s="138" t="s">
        <v>249</v>
      </c>
      <c r="D18" s="93"/>
      <c r="E18" s="93"/>
      <c r="F18" s="95"/>
      <c r="G18" s="95"/>
      <c r="H18" s="93"/>
      <c r="I18" s="97"/>
    </row>
    <row r="19" spans="1:9" ht="27" customHeight="1">
      <c r="A19" s="670"/>
      <c r="B19" s="93">
        <f>B20+B21</f>
        <v>4479846</v>
      </c>
      <c r="C19" s="138" t="s">
        <v>174</v>
      </c>
      <c r="D19" s="93">
        <f>D20+D21</f>
        <v>2050000</v>
      </c>
      <c r="E19" s="93">
        <f>E20+E21</f>
        <v>4112548</v>
      </c>
      <c r="F19" s="95"/>
      <c r="G19" s="95"/>
      <c r="H19" s="93">
        <f t="shared" si="0"/>
        <v>4112548</v>
      </c>
      <c r="I19" s="98"/>
    </row>
    <row r="20" spans="1:9" ht="27" customHeight="1">
      <c r="A20" s="670"/>
      <c r="B20" s="96">
        <v>286762</v>
      </c>
      <c r="C20" s="138" t="s">
        <v>61</v>
      </c>
      <c r="D20" s="93">
        <v>550000</v>
      </c>
      <c r="E20" s="93">
        <f>'損益機關'!F28</f>
        <v>203453</v>
      </c>
      <c r="F20" s="95"/>
      <c r="G20" s="95"/>
      <c r="H20" s="93">
        <f t="shared" si="0"/>
        <v>203453</v>
      </c>
      <c r="I20" s="97"/>
    </row>
    <row r="21" spans="1:9" ht="27" customHeight="1">
      <c r="A21" s="670"/>
      <c r="B21" s="96">
        <v>4193084</v>
      </c>
      <c r="C21" s="138" t="s">
        <v>62</v>
      </c>
      <c r="D21" s="93">
        <v>1500000</v>
      </c>
      <c r="E21" s="93">
        <f>'損益機關'!F29</f>
        <v>3909095</v>
      </c>
      <c r="F21" s="95"/>
      <c r="G21" s="95"/>
      <c r="H21" s="93">
        <f t="shared" si="0"/>
        <v>3909095</v>
      </c>
      <c r="I21" s="97"/>
    </row>
    <row r="22" spans="1:9" ht="27" customHeight="1">
      <c r="A22" s="670"/>
      <c r="B22" s="93">
        <f>SUM(B23:B24)</f>
        <v>3024765</v>
      </c>
      <c r="C22" s="138" t="s">
        <v>63</v>
      </c>
      <c r="D22" s="93">
        <f>SUM(D23:D24)</f>
        <v>1098000</v>
      </c>
      <c r="E22" s="93">
        <f>SUM(E23:E24)</f>
        <v>11452805</v>
      </c>
      <c r="F22" s="95"/>
      <c r="G22" s="95"/>
      <c r="H22" s="93">
        <f t="shared" si="0"/>
        <v>11452805</v>
      </c>
      <c r="I22" s="97"/>
    </row>
    <row r="23" spans="1:9" ht="27" customHeight="1">
      <c r="A23" s="670"/>
      <c r="B23" s="139">
        <v>0</v>
      </c>
      <c r="C23" s="140" t="s">
        <v>211</v>
      </c>
      <c r="D23" s="120">
        <v>0</v>
      </c>
      <c r="E23" s="120">
        <f>'損益機關'!F31</f>
        <v>0</v>
      </c>
      <c r="F23" s="128"/>
      <c r="G23" s="128"/>
      <c r="H23" s="120">
        <f t="shared" si="0"/>
        <v>0</v>
      </c>
      <c r="I23" s="97"/>
    </row>
    <row r="24" spans="1:9" ht="27" customHeight="1">
      <c r="A24" s="670"/>
      <c r="B24" s="105">
        <v>3024765</v>
      </c>
      <c r="C24" s="138" t="s">
        <v>64</v>
      </c>
      <c r="D24" s="93">
        <v>1098000</v>
      </c>
      <c r="E24" s="93">
        <f>'損益機關'!F32</f>
        <v>11452805</v>
      </c>
      <c r="F24" s="95"/>
      <c r="G24" s="95"/>
      <c r="H24" s="93">
        <f t="shared" si="0"/>
        <v>11452805</v>
      </c>
      <c r="I24" s="97"/>
    </row>
    <row r="25" spans="1:9" ht="27" customHeight="1">
      <c r="A25" s="670"/>
      <c r="B25" s="93">
        <f>B19-B22</f>
        <v>1455081</v>
      </c>
      <c r="C25" s="138" t="s">
        <v>173</v>
      </c>
      <c r="D25" s="93">
        <f>D19-D22</f>
        <v>952000</v>
      </c>
      <c r="E25" s="93">
        <f>E19-E22</f>
        <v>-7340257</v>
      </c>
      <c r="F25" s="95"/>
      <c r="G25" s="95"/>
      <c r="H25" s="93">
        <f t="shared" si="0"/>
        <v>-7340257</v>
      </c>
      <c r="I25" s="97"/>
    </row>
    <row r="26" spans="1:9" ht="27" customHeight="1">
      <c r="A26" s="670"/>
      <c r="B26" s="93">
        <f>B25+B17</f>
        <v>-9618743</v>
      </c>
      <c r="C26" s="138" t="s">
        <v>65</v>
      </c>
      <c r="D26" s="93">
        <f>D17+D25</f>
        <v>278000</v>
      </c>
      <c r="E26" s="93">
        <f>E25+E17</f>
        <v>-57154788</v>
      </c>
      <c r="F26" s="95"/>
      <c r="G26" s="95"/>
      <c r="H26" s="93">
        <f t="shared" si="0"/>
        <v>-57154788</v>
      </c>
      <c r="I26" s="97"/>
    </row>
    <row r="27" spans="1:9" ht="27" customHeight="1">
      <c r="A27" s="670"/>
      <c r="B27" s="120">
        <v>0</v>
      </c>
      <c r="C27" s="140" t="s">
        <v>175</v>
      </c>
      <c r="D27" s="120">
        <v>0</v>
      </c>
      <c r="E27" s="120">
        <f>'損益機關'!F35</f>
        <v>0</v>
      </c>
      <c r="F27" s="128"/>
      <c r="G27" s="128"/>
      <c r="H27" s="120">
        <f t="shared" si="0"/>
        <v>0</v>
      </c>
      <c r="I27" s="97"/>
    </row>
    <row r="28" spans="1:9" ht="27" customHeight="1">
      <c r="A28" s="671"/>
      <c r="B28" s="99">
        <f>B26-B27</f>
        <v>-9618743</v>
      </c>
      <c r="C28" s="141" t="s">
        <v>66</v>
      </c>
      <c r="D28" s="99">
        <f>D17+D25</f>
        <v>278000</v>
      </c>
      <c r="E28" s="99">
        <f>E26-E27</f>
        <v>-57154788</v>
      </c>
      <c r="F28" s="101"/>
      <c r="G28" s="101"/>
      <c r="H28" s="99">
        <f t="shared" si="0"/>
        <v>-57154788</v>
      </c>
      <c r="I28" s="97"/>
    </row>
    <row r="29" spans="1:9" ht="15.75" customHeight="1">
      <c r="A29" s="668" t="s">
        <v>307</v>
      </c>
      <c r="B29" s="102">
        <f>SUM(B30:B31)</f>
        <v>169582855</v>
      </c>
      <c r="C29" s="135" t="s">
        <v>216</v>
      </c>
      <c r="D29" s="102">
        <f>SUM(D30:D31)</f>
        <v>181042000</v>
      </c>
      <c r="E29" s="102">
        <f>SUM(E30:E31)</f>
        <v>159964112</v>
      </c>
      <c r="F29" s="104"/>
      <c r="G29" s="104"/>
      <c r="H29" s="93">
        <f>E29</f>
        <v>159964112</v>
      </c>
      <c r="I29" s="97"/>
    </row>
    <row r="30" spans="1:9" ht="15.75" customHeight="1">
      <c r="A30" s="669"/>
      <c r="B30" s="142">
        <v>0</v>
      </c>
      <c r="C30" s="140" t="s">
        <v>176</v>
      </c>
      <c r="D30" s="93">
        <v>278000</v>
      </c>
      <c r="E30" s="107">
        <f>'盈虧撥補'!F8</f>
        <v>0</v>
      </c>
      <c r="F30" s="112"/>
      <c r="G30" s="112"/>
      <c r="H30" s="107">
        <f aca="true" t="shared" si="1" ref="H30:H47">E30</f>
        <v>0</v>
      </c>
      <c r="I30" s="97"/>
    </row>
    <row r="31" spans="1:9" ht="15.75" customHeight="1">
      <c r="A31" s="669"/>
      <c r="B31" s="142">
        <v>169582855</v>
      </c>
      <c r="C31" s="140" t="s">
        <v>177</v>
      </c>
      <c r="D31" s="93">
        <v>180764000</v>
      </c>
      <c r="E31" s="93">
        <f>'盈虧撥補'!F9</f>
        <v>159964112</v>
      </c>
      <c r="F31" s="95"/>
      <c r="G31" s="95"/>
      <c r="H31" s="93">
        <f t="shared" si="1"/>
        <v>159964112</v>
      </c>
      <c r="I31" s="97"/>
    </row>
    <row r="32" spans="1:9" ht="16.5" customHeight="1">
      <c r="A32" s="669"/>
      <c r="B32" s="93">
        <f>SUM(B33)</f>
        <v>169582855</v>
      </c>
      <c r="C32" s="143" t="s">
        <v>179</v>
      </c>
      <c r="D32" s="93">
        <f>D33</f>
        <v>181042000</v>
      </c>
      <c r="E32" s="93">
        <f>E33</f>
        <v>159964112</v>
      </c>
      <c r="F32" s="95"/>
      <c r="G32" s="95"/>
      <c r="H32" s="93">
        <f>E32</f>
        <v>159964112</v>
      </c>
      <c r="I32" s="97"/>
    </row>
    <row r="33" spans="1:9" ht="16.5" customHeight="1">
      <c r="A33" s="669"/>
      <c r="B33" s="93">
        <f>SUM(B34:B36)</f>
        <v>169582855</v>
      </c>
      <c r="C33" s="143" t="s">
        <v>214</v>
      </c>
      <c r="D33" s="93">
        <f>SUM(D34:D36)</f>
        <v>181042000</v>
      </c>
      <c r="E33" s="93">
        <f>SUM(E34:E36)</f>
        <v>159964112</v>
      </c>
      <c r="F33" s="95"/>
      <c r="G33" s="95"/>
      <c r="H33" s="93">
        <f t="shared" si="1"/>
        <v>159964112</v>
      </c>
      <c r="I33" s="97"/>
    </row>
    <row r="34" spans="1:9" ht="16.5" customHeight="1">
      <c r="A34" s="670"/>
      <c r="B34" s="120">
        <v>9618743</v>
      </c>
      <c r="C34" s="143" t="s">
        <v>407</v>
      </c>
      <c r="D34" s="120">
        <v>0</v>
      </c>
      <c r="E34" s="120">
        <f>'盈虧撥補'!F19</f>
        <v>57154788</v>
      </c>
      <c r="F34" s="128"/>
      <c r="G34" s="128"/>
      <c r="H34" s="120">
        <f t="shared" si="1"/>
        <v>57154788</v>
      </c>
      <c r="I34" s="97"/>
    </row>
    <row r="35" spans="1:9" ht="16.5" customHeight="1">
      <c r="A35" s="670"/>
      <c r="B35" s="144">
        <v>0</v>
      </c>
      <c r="C35" s="143" t="s">
        <v>259</v>
      </c>
      <c r="D35" s="107">
        <v>0</v>
      </c>
      <c r="E35" s="107">
        <v>0</v>
      </c>
      <c r="F35" s="107"/>
      <c r="G35" s="107"/>
      <c r="H35" s="107">
        <v>0</v>
      </c>
      <c r="I35" s="97"/>
    </row>
    <row r="36" spans="1:9" ht="16.5" customHeight="1">
      <c r="A36" s="670"/>
      <c r="B36" s="142">
        <v>159964112</v>
      </c>
      <c r="C36" s="143" t="s">
        <v>215</v>
      </c>
      <c r="D36" s="93">
        <v>181042000</v>
      </c>
      <c r="E36" s="93">
        <f>'盈虧撥補'!F23</f>
        <v>102809324</v>
      </c>
      <c r="F36" s="95"/>
      <c r="G36" s="95"/>
      <c r="H36" s="93">
        <f t="shared" si="1"/>
        <v>102809324</v>
      </c>
      <c r="I36" s="97"/>
    </row>
    <row r="37" spans="1:9" ht="16.5" customHeight="1">
      <c r="A37" s="670"/>
      <c r="B37" s="93">
        <f>SUM(B38:B39)</f>
        <v>9618743</v>
      </c>
      <c r="C37" s="140" t="s">
        <v>23</v>
      </c>
      <c r="D37" s="93"/>
      <c r="E37" s="93">
        <f>SUM(E38:E39)</f>
        <v>57154788</v>
      </c>
      <c r="F37" s="95"/>
      <c r="G37" s="95"/>
      <c r="H37" s="93">
        <f t="shared" si="1"/>
        <v>57154788</v>
      </c>
      <c r="I37" s="97"/>
    </row>
    <row r="38" spans="1:9" ht="16.5" customHeight="1">
      <c r="A38" s="670"/>
      <c r="B38" s="93">
        <v>9618743</v>
      </c>
      <c r="C38" s="140" t="s">
        <v>24</v>
      </c>
      <c r="D38" s="93"/>
      <c r="E38" s="93">
        <f>'盈虧撥補'!F26</f>
        <v>57154788</v>
      </c>
      <c r="F38" s="95"/>
      <c r="G38" s="95"/>
      <c r="H38" s="93">
        <f t="shared" si="1"/>
        <v>57154788</v>
      </c>
      <c r="I38" s="97"/>
    </row>
    <row r="39" spans="1:9" ht="16.5" customHeight="1">
      <c r="A39" s="670"/>
      <c r="B39" s="93"/>
      <c r="C39" s="140" t="s">
        <v>25</v>
      </c>
      <c r="D39" s="93"/>
      <c r="E39" s="107">
        <f>'盈虧撥補'!F27</f>
        <v>0</v>
      </c>
      <c r="F39" s="112"/>
      <c r="G39" s="112"/>
      <c r="H39" s="107">
        <f t="shared" si="1"/>
        <v>0</v>
      </c>
      <c r="I39" s="97"/>
    </row>
    <row r="40" spans="1:9" ht="16.5" customHeight="1">
      <c r="A40" s="670"/>
      <c r="B40" s="93">
        <f>SUM(B41:B42)</f>
        <v>9618743</v>
      </c>
      <c r="C40" s="140" t="s">
        <v>67</v>
      </c>
      <c r="D40" s="93"/>
      <c r="E40" s="107">
        <f>SUM(E41:E42)</f>
        <v>57154788</v>
      </c>
      <c r="F40" s="112"/>
      <c r="G40" s="112"/>
      <c r="H40" s="107">
        <f t="shared" si="1"/>
        <v>57154788</v>
      </c>
      <c r="I40" s="97"/>
    </row>
    <row r="41" spans="1:9" ht="16.5" customHeight="1">
      <c r="A41" s="670"/>
      <c r="B41" s="93"/>
      <c r="C41" s="140" t="s">
        <v>28</v>
      </c>
      <c r="D41" s="93"/>
      <c r="E41" s="107">
        <v>0</v>
      </c>
      <c r="F41" s="112"/>
      <c r="G41" s="112"/>
      <c r="H41" s="107">
        <f t="shared" si="1"/>
        <v>0</v>
      </c>
      <c r="I41" s="97"/>
    </row>
    <row r="42" spans="1:9" ht="16.5" customHeight="1">
      <c r="A42" s="670"/>
      <c r="B42" s="93">
        <v>9618743</v>
      </c>
      <c r="C42" s="140" t="s">
        <v>252</v>
      </c>
      <c r="D42" s="93"/>
      <c r="E42" s="93">
        <f>SUM(E43:E47)</f>
        <v>57154788</v>
      </c>
      <c r="F42" s="95"/>
      <c r="G42" s="95"/>
      <c r="H42" s="93">
        <f t="shared" si="1"/>
        <v>57154788</v>
      </c>
      <c r="I42" s="97"/>
    </row>
    <row r="43" spans="1:9" ht="16.5" customHeight="1">
      <c r="A43" s="670"/>
      <c r="B43" s="93">
        <v>9618743</v>
      </c>
      <c r="C43" s="140" t="s">
        <v>29</v>
      </c>
      <c r="D43" s="93"/>
      <c r="E43" s="93">
        <f>'盈虧撥補'!F33</f>
        <v>57154788</v>
      </c>
      <c r="F43" s="95"/>
      <c r="G43" s="95"/>
      <c r="H43" s="93">
        <f t="shared" si="1"/>
        <v>57154788</v>
      </c>
      <c r="I43" s="97"/>
    </row>
    <row r="44" spans="1:9" ht="16.5" customHeight="1">
      <c r="A44" s="670"/>
      <c r="B44" s="93"/>
      <c r="C44" s="140" t="s">
        <v>30</v>
      </c>
      <c r="D44" s="93"/>
      <c r="E44" s="107">
        <f>'盈虧撥補'!F34</f>
        <v>0</v>
      </c>
      <c r="F44" s="112"/>
      <c r="G44" s="112"/>
      <c r="H44" s="107">
        <f t="shared" si="1"/>
        <v>0</v>
      </c>
      <c r="I44" s="97"/>
    </row>
    <row r="45" spans="1:9" ht="16.5" customHeight="1">
      <c r="A45" s="670"/>
      <c r="B45" s="93"/>
      <c r="C45" s="140" t="s">
        <v>31</v>
      </c>
      <c r="D45" s="93"/>
      <c r="E45" s="107">
        <f>'盈虧撥補'!F35</f>
        <v>0</v>
      </c>
      <c r="F45" s="112"/>
      <c r="G45" s="112"/>
      <c r="H45" s="107">
        <f t="shared" si="1"/>
        <v>0</v>
      </c>
      <c r="I45" s="97"/>
    </row>
    <row r="46" spans="1:9" ht="16.5" customHeight="1">
      <c r="A46" s="670"/>
      <c r="B46" s="93"/>
      <c r="C46" s="140" t="s">
        <v>32</v>
      </c>
      <c r="D46" s="93"/>
      <c r="E46" s="107">
        <f>'盈虧撥補'!F36</f>
        <v>0</v>
      </c>
      <c r="F46" s="112"/>
      <c r="G46" s="112"/>
      <c r="H46" s="107">
        <f t="shared" si="1"/>
        <v>0</v>
      </c>
      <c r="I46" s="97"/>
    </row>
    <row r="47" spans="1:9" ht="16.5" customHeight="1">
      <c r="A47" s="670"/>
      <c r="B47" s="93"/>
      <c r="C47" s="140" t="s">
        <v>33</v>
      </c>
      <c r="D47" s="93"/>
      <c r="E47" s="107">
        <f>'盈虧撥補'!F37</f>
        <v>0</v>
      </c>
      <c r="F47" s="112"/>
      <c r="G47" s="112"/>
      <c r="H47" s="145">
        <f t="shared" si="1"/>
        <v>0</v>
      </c>
      <c r="I47" s="97"/>
    </row>
    <row r="48" spans="1:9" ht="18.75" customHeight="1">
      <c r="A48" s="668" t="s">
        <v>308</v>
      </c>
      <c r="B48" s="102"/>
      <c r="C48" s="146" t="s">
        <v>180</v>
      </c>
      <c r="D48" s="102"/>
      <c r="E48" s="102"/>
      <c r="F48" s="104"/>
      <c r="G48" s="104"/>
      <c r="H48" s="93"/>
      <c r="I48" s="97"/>
    </row>
    <row r="49" spans="1:9" ht="18.75" customHeight="1">
      <c r="A49" s="672"/>
      <c r="B49" s="147">
        <v>-9618743</v>
      </c>
      <c r="C49" s="148" t="s">
        <v>217</v>
      </c>
      <c r="D49" s="93">
        <v>278000</v>
      </c>
      <c r="E49" s="93">
        <f>'現金機關'!D7</f>
        <v>-57154788</v>
      </c>
      <c r="F49" s="95"/>
      <c r="G49" s="95"/>
      <c r="H49" s="93">
        <f aca="true" t="shared" si="2" ref="H49:H56">E49</f>
        <v>-57154788</v>
      </c>
      <c r="I49" s="97"/>
    </row>
    <row r="50" spans="1:9" ht="18.75" customHeight="1">
      <c r="A50" s="672"/>
      <c r="B50" s="147">
        <v>2088859</v>
      </c>
      <c r="C50" s="148" t="s">
        <v>218</v>
      </c>
      <c r="D50" s="93">
        <v>11932000</v>
      </c>
      <c r="E50" s="93">
        <f>'現金機關'!D8</f>
        <v>7253051</v>
      </c>
      <c r="F50" s="95"/>
      <c r="G50" s="95"/>
      <c r="H50" s="93">
        <f t="shared" si="2"/>
        <v>7253051</v>
      </c>
      <c r="I50" s="97"/>
    </row>
    <row r="51" spans="1:9" ht="18.75" customHeight="1">
      <c r="A51" s="672"/>
      <c r="B51" s="93">
        <f>B50+B49</f>
        <v>-7529884</v>
      </c>
      <c r="C51" s="149" t="s">
        <v>321</v>
      </c>
      <c r="D51" s="93">
        <f>D49+D50</f>
        <v>12210000</v>
      </c>
      <c r="E51" s="93">
        <f>E50+E49</f>
        <v>-49901737</v>
      </c>
      <c r="F51" s="95"/>
      <c r="G51" s="95"/>
      <c r="H51" s="93">
        <f t="shared" si="2"/>
        <v>-49901737</v>
      </c>
      <c r="I51" s="97"/>
    </row>
    <row r="52" spans="1:9" ht="18.75" customHeight="1">
      <c r="A52" s="672"/>
      <c r="B52" s="93"/>
      <c r="C52" s="148" t="s">
        <v>1</v>
      </c>
      <c r="D52" s="93"/>
      <c r="E52" s="93"/>
      <c r="F52" s="95"/>
      <c r="G52" s="95"/>
      <c r="H52" s="93"/>
      <c r="I52" s="97"/>
    </row>
    <row r="53" spans="1:9" ht="18.75" customHeight="1">
      <c r="A53" s="672"/>
      <c r="B53" s="147">
        <v>55622</v>
      </c>
      <c r="C53" s="149" t="s">
        <v>219</v>
      </c>
      <c r="D53" s="108">
        <v>0</v>
      </c>
      <c r="E53" s="93">
        <f>'現金機關'!D23</f>
        <v>15954</v>
      </c>
      <c r="F53" s="95"/>
      <c r="G53" s="95"/>
      <c r="H53" s="93">
        <f t="shared" si="2"/>
        <v>15954</v>
      </c>
      <c r="I53" s="97"/>
    </row>
    <row r="54" spans="1:9" ht="18.75" customHeight="1">
      <c r="A54" s="672"/>
      <c r="B54" s="147">
        <v>-6623554</v>
      </c>
      <c r="C54" s="149" t="s">
        <v>328</v>
      </c>
      <c r="D54" s="93">
        <v>-8585000</v>
      </c>
      <c r="E54" s="93">
        <f>'現金機關'!D26</f>
        <v>-33168098</v>
      </c>
      <c r="F54" s="95"/>
      <c r="G54" s="95"/>
      <c r="H54" s="93">
        <f t="shared" si="2"/>
        <v>-33168098</v>
      </c>
      <c r="I54" s="97"/>
    </row>
    <row r="55" spans="1:9" ht="18.75" customHeight="1">
      <c r="A55" s="672"/>
      <c r="B55" s="120">
        <v>0</v>
      </c>
      <c r="C55" s="150" t="s">
        <v>231</v>
      </c>
      <c r="D55" s="120">
        <v>0</v>
      </c>
      <c r="E55" s="120">
        <f>'現金機關'!D22</f>
        <v>0</v>
      </c>
      <c r="F55" s="128"/>
      <c r="G55" s="128"/>
      <c r="H55" s="120">
        <f t="shared" si="2"/>
        <v>0</v>
      </c>
      <c r="I55" s="97"/>
    </row>
    <row r="56" spans="1:9" ht="18" customHeight="1">
      <c r="A56" s="672"/>
      <c r="B56" s="93">
        <f>SUM(B53:B55)</f>
        <v>-6567932</v>
      </c>
      <c r="C56" s="149" t="s">
        <v>222</v>
      </c>
      <c r="D56" s="93">
        <f>SUM(D53:D55)</f>
        <v>-8585000</v>
      </c>
      <c r="E56" s="93">
        <f>SUM(E53:E55)</f>
        <v>-33152144</v>
      </c>
      <c r="F56" s="95"/>
      <c r="G56" s="95"/>
      <c r="H56" s="93">
        <f t="shared" si="2"/>
        <v>-33152144</v>
      </c>
      <c r="I56" s="97"/>
    </row>
    <row r="57" spans="1:9" ht="18.75" customHeight="1">
      <c r="A57" s="672"/>
      <c r="B57" s="93" t="s">
        <v>139</v>
      </c>
      <c r="C57" s="149" t="s">
        <v>181</v>
      </c>
      <c r="D57" s="93"/>
      <c r="E57" s="93"/>
      <c r="F57" s="95"/>
      <c r="G57" s="95"/>
      <c r="H57" s="93"/>
      <c r="I57" s="97"/>
    </row>
    <row r="58" spans="1:10" ht="18.75" customHeight="1">
      <c r="A58" s="672"/>
      <c r="B58" s="120">
        <v>0</v>
      </c>
      <c r="C58" s="150" t="s">
        <v>223</v>
      </c>
      <c r="D58" s="120">
        <v>0</v>
      </c>
      <c r="E58" s="120">
        <v>0</v>
      </c>
      <c r="F58" s="128"/>
      <c r="G58" s="128"/>
      <c r="H58" s="120">
        <f>E58</f>
        <v>0</v>
      </c>
      <c r="I58" s="97"/>
      <c r="J58" s="151"/>
    </row>
    <row r="59" spans="1:9" ht="18.75" customHeight="1">
      <c r="A59" s="672"/>
      <c r="B59" s="96">
        <v>-334373</v>
      </c>
      <c r="C59" s="149" t="s">
        <v>224</v>
      </c>
      <c r="D59" s="93">
        <v>-2521000</v>
      </c>
      <c r="E59" s="93">
        <f>'現金機關'!D30</f>
        <v>22351714</v>
      </c>
      <c r="F59" s="95"/>
      <c r="G59" s="95"/>
      <c r="H59" s="93">
        <f aca="true" t="shared" si="3" ref="H59:H65">E59</f>
        <v>22351714</v>
      </c>
      <c r="I59" s="97"/>
    </row>
    <row r="60" spans="1:9" ht="18.75" customHeight="1">
      <c r="A60" s="672"/>
      <c r="B60" s="120">
        <v>0</v>
      </c>
      <c r="C60" s="150" t="s">
        <v>230</v>
      </c>
      <c r="D60" s="120">
        <v>0</v>
      </c>
      <c r="E60" s="120">
        <f>'現金機關'!D31</f>
        <v>0</v>
      </c>
      <c r="F60" s="128"/>
      <c r="G60" s="128"/>
      <c r="H60" s="120">
        <f>E60</f>
        <v>0</v>
      </c>
      <c r="I60" s="97"/>
    </row>
    <row r="61" spans="1:9" ht="18.75" customHeight="1">
      <c r="A61" s="672"/>
      <c r="B61" s="120">
        <v>0</v>
      </c>
      <c r="C61" s="150" t="s">
        <v>462</v>
      </c>
      <c r="D61" s="120">
        <v>0</v>
      </c>
      <c r="E61" s="120">
        <f>'現金機關'!D32</f>
        <v>0</v>
      </c>
      <c r="F61" s="128"/>
      <c r="G61" s="128"/>
      <c r="H61" s="120">
        <f t="shared" si="3"/>
        <v>0</v>
      </c>
      <c r="I61" s="97"/>
    </row>
    <row r="62" spans="1:9" ht="18.75" customHeight="1">
      <c r="A62" s="672"/>
      <c r="B62" s="93">
        <f>SUM(B58:B61)</f>
        <v>-334373</v>
      </c>
      <c r="C62" s="149" t="s">
        <v>226</v>
      </c>
      <c r="D62" s="93">
        <f>SUM(D58:D61)</f>
        <v>-2521000</v>
      </c>
      <c r="E62" s="93">
        <f>SUM(E58:E61)</f>
        <v>22351714</v>
      </c>
      <c r="F62" s="95"/>
      <c r="G62" s="95"/>
      <c r="H62" s="93">
        <f t="shared" si="3"/>
        <v>22351714</v>
      </c>
      <c r="I62" s="92"/>
    </row>
    <row r="63" spans="1:9" ht="18.75" customHeight="1">
      <c r="A63" s="672"/>
      <c r="B63" s="93">
        <f>B62+B56+B51</f>
        <v>-14432189</v>
      </c>
      <c r="C63" s="152" t="s">
        <v>46</v>
      </c>
      <c r="D63" s="93">
        <f>D62+D56+D51</f>
        <v>1104000</v>
      </c>
      <c r="E63" s="93">
        <f>E62+E56+E51</f>
        <v>-60702167</v>
      </c>
      <c r="F63" s="95"/>
      <c r="G63" s="95"/>
      <c r="H63" s="93">
        <f t="shared" si="3"/>
        <v>-60702167</v>
      </c>
      <c r="I63" s="116"/>
    </row>
    <row r="64" spans="1:9" ht="18.75" customHeight="1">
      <c r="A64" s="672"/>
      <c r="B64" s="147">
        <v>246288540</v>
      </c>
      <c r="C64" s="152" t="s">
        <v>227</v>
      </c>
      <c r="D64" s="93">
        <v>258843000</v>
      </c>
      <c r="E64" s="93">
        <f>'現金機關'!D37</f>
        <v>231856351</v>
      </c>
      <c r="F64" s="95"/>
      <c r="G64" s="95"/>
      <c r="H64" s="93">
        <f t="shared" si="3"/>
        <v>231856351</v>
      </c>
      <c r="I64" s="116"/>
    </row>
    <row r="65" spans="1:9" ht="18.75" customHeight="1">
      <c r="A65" s="673"/>
      <c r="B65" s="99">
        <f>B64+B63</f>
        <v>231856351</v>
      </c>
      <c r="C65" s="153" t="s">
        <v>228</v>
      </c>
      <c r="D65" s="99">
        <f>D64+D63</f>
        <v>259947000</v>
      </c>
      <c r="E65" s="99">
        <f>E64+E63</f>
        <v>171154184</v>
      </c>
      <c r="F65" s="101"/>
      <c r="G65" s="101"/>
      <c r="H65" s="99">
        <f t="shared" si="3"/>
        <v>171154184</v>
      </c>
      <c r="I65" s="116"/>
    </row>
    <row r="66" spans="1:9" ht="15" customHeight="1">
      <c r="A66" s="668" t="s">
        <v>309</v>
      </c>
      <c r="B66" s="102">
        <f>B67+B72+B80+B82</f>
        <v>429897841</v>
      </c>
      <c r="C66" s="135" t="s">
        <v>185</v>
      </c>
      <c r="D66" s="102">
        <f>D67+D72+D80+D82</f>
        <v>418278000</v>
      </c>
      <c r="E66" s="102">
        <f>E67+E72+E80+E82</f>
        <v>367406612</v>
      </c>
      <c r="F66" s="104"/>
      <c r="G66" s="104"/>
      <c r="H66" s="102">
        <f>H67+H72+H80+H82</f>
        <v>367406612</v>
      </c>
      <c r="I66" s="116"/>
    </row>
    <row r="67" spans="1:9" ht="15" customHeight="1">
      <c r="A67" s="672"/>
      <c r="B67" s="93">
        <f>SUM(B68:B71)</f>
        <v>373847444</v>
      </c>
      <c r="C67" s="154" t="s">
        <v>673</v>
      </c>
      <c r="D67" s="93">
        <f>SUM(D68:D71)</f>
        <v>367644000</v>
      </c>
      <c r="E67" s="93">
        <f>'資產機關'!F8</f>
        <v>281724715</v>
      </c>
      <c r="F67" s="95"/>
      <c r="G67" s="95"/>
      <c r="H67" s="93">
        <f>SUM(H68:H71)</f>
        <v>281724715</v>
      </c>
      <c r="I67" s="116"/>
    </row>
    <row r="68" spans="1:9" ht="15" customHeight="1">
      <c r="A68" s="672"/>
      <c r="B68" s="144">
        <v>231856351</v>
      </c>
      <c r="C68" s="155" t="s">
        <v>674</v>
      </c>
      <c r="D68" s="93">
        <v>259947000</v>
      </c>
      <c r="E68" s="93">
        <f>'資產機關'!F9</f>
        <v>171154184</v>
      </c>
      <c r="F68" s="95"/>
      <c r="G68" s="95"/>
      <c r="H68" s="93">
        <f>E68</f>
        <v>171154184</v>
      </c>
      <c r="I68" s="116"/>
    </row>
    <row r="69" spans="1:9" ht="15" customHeight="1">
      <c r="A69" s="672"/>
      <c r="B69" s="144">
        <v>84736376</v>
      </c>
      <c r="C69" s="155" t="s">
        <v>675</v>
      </c>
      <c r="D69" s="93">
        <v>48331000</v>
      </c>
      <c r="E69" s="93">
        <f>'資產機關'!F10</f>
        <v>67888969</v>
      </c>
      <c r="F69" s="95"/>
      <c r="G69" s="95"/>
      <c r="H69" s="93">
        <f>E69</f>
        <v>67888969</v>
      </c>
      <c r="I69" s="116"/>
    </row>
    <row r="70" spans="1:9" ht="15" customHeight="1">
      <c r="A70" s="672"/>
      <c r="B70" s="144">
        <v>57254717</v>
      </c>
      <c r="C70" s="155" t="s">
        <v>676</v>
      </c>
      <c r="D70" s="93">
        <v>59366000</v>
      </c>
      <c r="E70" s="93">
        <f>'資產機關'!F11</f>
        <v>42611956</v>
      </c>
      <c r="F70" s="95"/>
      <c r="G70" s="95"/>
      <c r="H70" s="93">
        <f>E70</f>
        <v>42611956</v>
      </c>
      <c r="I70" s="116"/>
    </row>
    <row r="71" spans="1:9" ht="15" customHeight="1">
      <c r="A71" s="672"/>
      <c r="B71" s="120">
        <v>0</v>
      </c>
      <c r="C71" s="156" t="s">
        <v>501</v>
      </c>
      <c r="D71" s="120">
        <v>0</v>
      </c>
      <c r="E71" s="120">
        <f>'資產機關'!F12</f>
        <v>69606</v>
      </c>
      <c r="F71" s="128"/>
      <c r="G71" s="128"/>
      <c r="H71" s="120">
        <f>E71</f>
        <v>69606</v>
      </c>
      <c r="I71" s="116"/>
    </row>
    <row r="72" spans="1:9" ht="15" customHeight="1">
      <c r="A72" s="672"/>
      <c r="B72" s="93">
        <f>SUM(B73:B79)</f>
        <v>54945600</v>
      </c>
      <c r="C72" s="154" t="s">
        <v>677</v>
      </c>
      <c r="D72" s="93">
        <f>SUM(D73:D79)</f>
        <v>49473000</v>
      </c>
      <c r="E72" s="93">
        <f>'資產機關'!F16</f>
        <v>84596694</v>
      </c>
      <c r="F72" s="95"/>
      <c r="G72" s="95"/>
      <c r="H72" s="93">
        <f aca="true" t="shared" si="4" ref="H72:H84">E72</f>
        <v>84596694</v>
      </c>
      <c r="I72" s="116"/>
    </row>
    <row r="73" spans="1:9" ht="15" customHeight="1">
      <c r="A73" s="672"/>
      <c r="B73" s="144">
        <v>31495860</v>
      </c>
      <c r="C73" s="155" t="s">
        <v>678</v>
      </c>
      <c r="D73" s="93">
        <v>31496000</v>
      </c>
      <c r="E73" s="93">
        <f>'資產機關'!F17</f>
        <v>31495860</v>
      </c>
      <c r="F73" s="95"/>
      <c r="G73" s="95"/>
      <c r="H73" s="93">
        <f t="shared" si="4"/>
        <v>31495860</v>
      </c>
      <c r="I73" s="116"/>
    </row>
    <row r="74" spans="1:9" ht="15" customHeight="1">
      <c r="A74" s="672"/>
      <c r="B74" s="144">
        <v>568668</v>
      </c>
      <c r="C74" s="155" t="s">
        <v>679</v>
      </c>
      <c r="D74" s="93">
        <v>484000</v>
      </c>
      <c r="E74" s="93">
        <f>'資產機關'!F18</f>
        <v>483360</v>
      </c>
      <c r="F74" s="95"/>
      <c r="G74" s="95"/>
      <c r="H74" s="93">
        <f t="shared" si="4"/>
        <v>483360</v>
      </c>
      <c r="I74" s="116"/>
    </row>
    <row r="75" spans="1:9" ht="15" customHeight="1">
      <c r="A75" s="672"/>
      <c r="B75" s="144">
        <v>8719918</v>
      </c>
      <c r="C75" s="155" t="s">
        <v>680</v>
      </c>
      <c r="D75" s="93">
        <v>6806000</v>
      </c>
      <c r="E75" s="93">
        <f>'資產機關'!F19</f>
        <v>21669392</v>
      </c>
      <c r="F75" s="95"/>
      <c r="G75" s="95"/>
      <c r="H75" s="93">
        <f t="shared" si="4"/>
        <v>21669392</v>
      </c>
      <c r="I75" s="116"/>
    </row>
    <row r="76" spans="1:9" ht="15" customHeight="1">
      <c r="A76" s="672"/>
      <c r="B76" s="144">
        <v>4823055</v>
      </c>
      <c r="C76" s="155" t="s">
        <v>681</v>
      </c>
      <c r="D76" s="93">
        <v>4671000</v>
      </c>
      <c r="E76" s="93">
        <f>'資產機關'!F20</f>
        <v>11374361</v>
      </c>
      <c r="F76" s="95"/>
      <c r="G76" s="95"/>
      <c r="H76" s="93">
        <f t="shared" si="4"/>
        <v>11374361</v>
      </c>
      <c r="I76" s="116"/>
    </row>
    <row r="77" spans="1:9" ht="15" customHeight="1">
      <c r="A77" s="672"/>
      <c r="B77" s="144">
        <v>3485337</v>
      </c>
      <c r="C77" s="155" t="s">
        <v>682</v>
      </c>
      <c r="D77" s="93">
        <v>2519000</v>
      </c>
      <c r="E77" s="93">
        <f>'資產機關'!F21</f>
        <v>2746769</v>
      </c>
      <c r="F77" s="95"/>
      <c r="G77" s="95"/>
      <c r="H77" s="93">
        <f t="shared" si="4"/>
        <v>2746769</v>
      </c>
      <c r="I77" s="116"/>
    </row>
    <row r="78" spans="1:9" ht="15" customHeight="1">
      <c r="A78" s="672"/>
      <c r="B78" s="144">
        <v>2480108</v>
      </c>
      <c r="C78" s="155" t="s">
        <v>683</v>
      </c>
      <c r="D78" s="93">
        <v>2620000</v>
      </c>
      <c r="E78" s="93">
        <f>'資產機關'!F22</f>
        <v>2435605</v>
      </c>
      <c r="F78" s="95"/>
      <c r="G78" s="95"/>
      <c r="H78" s="93">
        <f t="shared" si="4"/>
        <v>2435605</v>
      </c>
      <c r="I78" s="116"/>
    </row>
    <row r="79" spans="1:9" ht="15" customHeight="1">
      <c r="A79" s="672"/>
      <c r="B79" s="144">
        <v>3372654</v>
      </c>
      <c r="C79" s="157" t="s">
        <v>481</v>
      </c>
      <c r="D79" s="120">
        <v>877000</v>
      </c>
      <c r="E79" s="120">
        <f>'資產機關'!F24</f>
        <v>14391347</v>
      </c>
      <c r="F79" s="128"/>
      <c r="G79" s="128"/>
      <c r="H79" s="120">
        <f t="shared" si="4"/>
        <v>14391347</v>
      </c>
      <c r="I79" s="116"/>
    </row>
    <row r="80" spans="1:9" ht="15" customHeight="1">
      <c r="A80" s="672"/>
      <c r="B80" s="107">
        <f>SUM(B81)</f>
        <v>0</v>
      </c>
      <c r="C80" s="154" t="s">
        <v>684</v>
      </c>
      <c r="D80" s="129">
        <f>D81</f>
        <v>0</v>
      </c>
      <c r="E80" s="93">
        <f>SUM(E81)</f>
        <v>23660</v>
      </c>
      <c r="F80" s="95"/>
      <c r="G80" s="95"/>
      <c r="H80" s="108">
        <f t="shared" si="4"/>
        <v>23660</v>
      </c>
      <c r="I80" s="116"/>
    </row>
    <row r="81" spans="1:9" ht="15" customHeight="1">
      <c r="A81" s="672"/>
      <c r="B81" s="107">
        <v>0</v>
      </c>
      <c r="C81" s="155" t="s">
        <v>685</v>
      </c>
      <c r="D81" s="129">
        <v>0</v>
      </c>
      <c r="E81" s="93">
        <f>'資產機關'!F26</f>
        <v>23660</v>
      </c>
      <c r="F81" s="95"/>
      <c r="G81" s="95"/>
      <c r="H81" s="108">
        <f t="shared" si="4"/>
        <v>23660</v>
      </c>
      <c r="I81" s="116"/>
    </row>
    <row r="82" spans="1:9" ht="15" customHeight="1">
      <c r="A82" s="672"/>
      <c r="B82" s="93">
        <f>B83</f>
        <v>1104797</v>
      </c>
      <c r="C82" s="154" t="s">
        <v>686</v>
      </c>
      <c r="D82" s="93">
        <f>D83+D84</f>
        <v>1161000</v>
      </c>
      <c r="E82" s="93">
        <f>'資產機關'!F27</f>
        <v>1061543</v>
      </c>
      <c r="F82" s="95"/>
      <c r="G82" s="95"/>
      <c r="H82" s="93">
        <f t="shared" si="4"/>
        <v>1061543</v>
      </c>
      <c r="I82" s="116"/>
    </row>
    <row r="83" spans="1:9" ht="15" customHeight="1">
      <c r="A83" s="672"/>
      <c r="B83" s="144">
        <v>1104797</v>
      </c>
      <c r="C83" s="155" t="s">
        <v>687</v>
      </c>
      <c r="D83" s="93">
        <v>1161000</v>
      </c>
      <c r="E83" s="93">
        <f>'資產機關'!F29</f>
        <v>1061543</v>
      </c>
      <c r="F83" s="95"/>
      <c r="G83" s="95"/>
      <c r="H83" s="93">
        <f t="shared" si="4"/>
        <v>1061543</v>
      </c>
      <c r="I83" s="122"/>
    </row>
    <row r="84" spans="1:9" ht="15" customHeight="1">
      <c r="A84" s="672"/>
      <c r="B84" s="120">
        <v>0</v>
      </c>
      <c r="C84" s="157" t="s">
        <v>502</v>
      </c>
      <c r="D84" s="120">
        <v>0</v>
      </c>
      <c r="E84" s="120">
        <v>0</v>
      </c>
      <c r="F84" s="128"/>
      <c r="G84" s="128"/>
      <c r="H84" s="120">
        <f t="shared" si="4"/>
        <v>0</v>
      </c>
      <c r="I84" s="122"/>
    </row>
    <row r="85" spans="1:9" ht="15" customHeight="1">
      <c r="A85" s="672"/>
      <c r="B85" s="93">
        <f>B66</f>
        <v>429897841</v>
      </c>
      <c r="C85" s="138" t="s">
        <v>253</v>
      </c>
      <c r="D85" s="93">
        <f>D66</f>
        <v>418278000</v>
      </c>
      <c r="E85" s="93">
        <f>'資產機關'!F31</f>
        <v>367406612</v>
      </c>
      <c r="F85" s="95"/>
      <c r="G85" s="95"/>
      <c r="H85" s="93">
        <f aca="true" t="shared" si="5" ref="H85:H92">E85</f>
        <v>367406612</v>
      </c>
      <c r="I85" s="122"/>
    </row>
    <row r="86" spans="1:9" ht="15" customHeight="1">
      <c r="A86" s="672"/>
      <c r="B86" s="93">
        <f>B87+B90+B92</f>
        <v>102269782</v>
      </c>
      <c r="C86" s="154" t="s">
        <v>688</v>
      </c>
      <c r="D86" s="93">
        <f>D87+D90+D92</f>
        <v>69572000</v>
      </c>
      <c r="E86" s="93">
        <f>'資產機關'!F32</f>
        <v>96933341</v>
      </c>
      <c r="F86" s="95"/>
      <c r="G86" s="95"/>
      <c r="H86" s="93">
        <f t="shared" si="5"/>
        <v>96933341</v>
      </c>
      <c r="I86" s="122"/>
    </row>
    <row r="87" spans="1:9" ht="15" customHeight="1">
      <c r="A87" s="672"/>
      <c r="B87" s="93">
        <f>B88+B89</f>
        <v>53381952</v>
      </c>
      <c r="C87" s="154" t="s">
        <v>689</v>
      </c>
      <c r="D87" s="93">
        <f>D88+D89</f>
        <v>19577000</v>
      </c>
      <c r="E87" s="93">
        <f>'資產機關'!F33</f>
        <v>30553248</v>
      </c>
      <c r="F87" s="95"/>
      <c r="G87" s="95"/>
      <c r="H87" s="93">
        <f t="shared" si="5"/>
        <v>30553248</v>
      </c>
      <c r="I87" s="122"/>
    </row>
    <row r="88" spans="1:9" ht="15" customHeight="1">
      <c r="A88" s="672"/>
      <c r="B88" s="144">
        <v>52389991</v>
      </c>
      <c r="C88" s="155" t="s">
        <v>690</v>
      </c>
      <c r="D88" s="93">
        <v>18075000</v>
      </c>
      <c r="E88" s="93">
        <f>'資產機關'!F34</f>
        <v>27095901</v>
      </c>
      <c r="F88" s="95"/>
      <c r="G88" s="95"/>
      <c r="H88" s="93">
        <f t="shared" si="5"/>
        <v>27095901</v>
      </c>
      <c r="I88" s="122"/>
    </row>
    <row r="89" spans="1:9" ht="15" customHeight="1">
      <c r="A89" s="672"/>
      <c r="B89" s="144">
        <v>991961</v>
      </c>
      <c r="C89" s="155" t="s">
        <v>691</v>
      </c>
      <c r="D89" s="93">
        <v>1502000</v>
      </c>
      <c r="E89" s="93">
        <f>'資產機關'!F35</f>
        <v>3457347</v>
      </c>
      <c r="F89" s="95"/>
      <c r="G89" s="95"/>
      <c r="H89" s="93">
        <f t="shared" si="5"/>
        <v>3457347</v>
      </c>
      <c r="I89" s="122"/>
    </row>
    <row r="90" spans="1:9" ht="15" customHeight="1">
      <c r="A90" s="672"/>
      <c r="B90" s="93">
        <f>B91</f>
        <v>44590788</v>
      </c>
      <c r="C90" s="154" t="s">
        <v>692</v>
      </c>
      <c r="D90" s="93">
        <f>D91</f>
        <v>47229000</v>
      </c>
      <c r="E90" s="93">
        <f>'資產機關'!F37</f>
        <v>39746778</v>
      </c>
      <c r="F90" s="95"/>
      <c r="G90" s="95"/>
      <c r="H90" s="93">
        <f t="shared" si="5"/>
        <v>39746778</v>
      </c>
      <c r="I90" s="122"/>
    </row>
    <row r="91" spans="1:9" ht="15" customHeight="1">
      <c r="A91" s="672"/>
      <c r="B91" s="144">
        <v>44590788</v>
      </c>
      <c r="C91" s="155" t="s">
        <v>693</v>
      </c>
      <c r="D91" s="93">
        <v>47229000</v>
      </c>
      <c r="E91" s="93">
        <f>'資產機關'!F38</f>
        <v>39746778</v>
      </c>
      <c r="F91" s="95"/>
      <c r="G91" s="95"/>
      <c r="H91" s="93">
        <f t="shared" si="5"/>
        <v>39746778</v>
      </c>
      <c r="I91" s="122"/>
    </row>
    <row r="92" spans="1:9" ht="15" customHeight="1">
      <c r="A92" s="672"/>
      <c r="B92" s="93">
        <f>B93+B94+B95</f>
        <v>4297042</v>
      </c>
      <c r="C92" s="154" t="s">
        <v>694</v>
      </c>
      <c r="D92" s="93">
        <f>D93+D94+D95</f>
        <v>2766000</v>
      </c>
      <c r="E92" s="93">
        <f>'資產機關'!F39</f>
        <v>26633315</v>
      </c>
      <c r="F92" s="95"/>
      <c r="G92" s="95"/>
      <c r="H92" s="93">
        <f t="shared" si="5"/>
        <v>26633315</v>
      </c>
      <c r="I92" s="122"/>
    </row>
    <row r="93" spans="1:9" ht="15" customHeight="1">
      <c r="A93" s="672"/>
      <c r="B93" s="107">
        <v>0</v>
      </c>
      <c r="C93" s="155" t="s">
        <v>695</v>
      </c>
      <c r="D93" s="107">
        <v>0</v>
      </c>
      <c r="E93" s="107">
        <v>0</v>
      </c>
      <c r="F93" s="112"/>
      <c r="G93" s="112"/>
      <c r="H93" s="107">
        <v>0</v>
      </c>
      <c r="I93" s="122"/>
    </row>
    <row r="94" spans="1:9" ht="15" customHeight="1">
      <c r="A94" s="672"/>
      <c r="B94" s="144">
        <v>4097737</v>
      </c>
      <c r="C94" s="155" t="s">
        <v>696</v>
      </c>
      <c r="D94" s="93">
        <v>2592000</v>
      </c>
      <c r="E94" s="93">
        <f>'資產機關'!F41</f>
        <v>26449451</v>
      </c>
      <c r="F94" s="95"/>
      <c r="G94" s="95"/>
      <c r="H94" s="93">
        <f>E94</f>
        <v>26449451</v>
      </c>
      <c r="I94" s="122"/>
    </row>
    <row r="95" spans="1:9" ht="15" customHeight="1">
      <c r="A95" s="672"/>
      <c r="B95" s="144">
        <v>199305</v>
      </c>
      <c r="C95" s="155" t="s">
        <v>697</v>
      </c>
      <c r="D95" s="93">
        <v>174000</v>
      </c>
      <c r="E95" s="93">
        <f>'資產機關'!F42</f>
        <v>183864</v>
      </c>
      <c r="F95" s="95"/>
      <c r="G95" s="95"/>
      <c r="H95" s="93">
        <f>E95</f>
        <v>183864</v>
      </c>
      <c r="I95" s="122"/>
    </row>
    <row r="96" spans="1:9" ht="15" customHeight="1">
      <c r="A96" s="672"/>
      <c r="B96" s="93">
        <f>B97+B99+B101+B105</f>
        <v>327628059</v>
      </c>
      <c r="C96" s="138" t="s">
        <v>250</v>
      </c>
      <c r="D96" s="93">
        <f>D97+D99+D101+D105</f>
        <v>348706000</v>
      </c>
      <c r="E96" s="93">
        <f>'資產機關'!F43</f>
        <v>270473271</v>
      </c>
      <c r="F96" s="95"/>
      <c r="G96" s="95"/>
      <c r="H96" s="93">
        <f aca="true" t="shared" si="6" ref="H96:H107">E96</f>
        <v>270473271</v>
      </c>
      <c r="I96" s="122"/>
    </row>
    <row r="97" spans="1:9" ht="15" customHeight="1">
      <c r="A97" s="672"/>
      <c r="B97" s="93">
        <f>B98</f>
        <v>129121275</v>
      </c>
      <c r="C97" s="154" t="s">
        <v>698</v>
      </c>
      <c r="D97" s="93">
        <f>D98</f>
        <v>129121000</v>
      </c>
      <c r="E97" s="93">
        <f>'資產機關'!F44</f>
        <v>129121275</v>
      </c>
      <c r="F97" s="95"/>
      <c r="G97" s="95"/>
      <c r="H97" s="93">
        <f t="shared" si="6"/>
        <v>129121275</v>
      </c>
      <c r="I97" s="122"/>
    </row>
    <row r="98" spans="1:9" ht="15" customHeight="1">
      <c r="A98" s="672"/>
      <c r="B98" s="144">
        <v>129121275</v>
      </c>
      <c r="C98" s="155" t="s">
        <v>699</v>
      </c>
      <c r="D98" s="93">
        <v>129121000</v>
      </c>
      <c r="E98" s="93">
        <f>'資產機關'!F45</f>
        <v>129121275</v>
      </c>
      <c r="F98" s="95"/>
      <c r="G98" s="95"/>
      <c r="H98" s="93">
        <f t="shared" si="6"/>
        <v>129121275</v>
      </c>
      <c r="I98" s="122"/>
    </row>
    <row r="99" spans="1:9" ht="15" customHeight="1">
      <c r="A99" s="672"/>
      <c r="B99" s="93">
        <f>B100</f>
        <v>1237636</v>
      </c>
      <c r="C99" s="154" t="s">
        <v>700</v>
      </c>
      <c r="D99" s="93">
        <f>D100</f>
        <v>1238000</v>
      </c>
      <c r="E99" s="93">
        <f>'資產機關'!F46</f>
        <v>1237636</v>
      </c>
      <c r="F99" s="95"/>
      <c r="G99" s="95"/>
      <c r="H99" s="93">
        <f t="shared" si="6"/>
        <v>1237636</v>
      </c>
      <c r="I99" s="122"/>
    </row>
    <row r="100" spans="1:9" ht="15" customHeight="1">
      <c r="A100" s="672"/>
      <c r="B100" s="144">
        <v>1237636</v>
      </c>
      <c r="C100" s="155" t="s">
        <v>701</v>
      </c>
      <c r="D100" s="93">
        <v>1238000</v>
      </c>
      <c r="E100" s="93">
        <f>'資產機關'!F47</f>
        <v>1237636</v>
      </c>
      <c r="F100" s="95"/>
      <c r="G100" s="95"/>
      <c r="H100" s="93">
        <f t="shared" si="6"/>
        <v>1237636</v>
      </c>
      <c r="I100" s="122"/>
    </row>
    <row r="101" spans="1:9" ht="15" customHeight="1">
      <c r="A101" s="672"/>
      <c r="B101" s="93">
        <f>SUM(B102:B103)</f>
        <v>178913362</v>
      </c>
      <c r="C101" s="154" t="s">
        <v>702</v>
      </c>
      <c r="D101" s="93">
        <f>D102+D103-D104</f>
        <v>199991000</v>
      </c>
      <c r="E101" s="93">
        <f>'資產機關'!F48</f>
        <v>121758574</v>
      </c>
      <c r="F101" s="95"/>
      <c r="G101" s="95"/>
      <c r="H101" s="93">
        <f t="shared" si="6"/>
        <v>121758574</v>
      </c>
      <c r="I101" s="122"/>
    </row>
    <row r="102" spans="1:9" ht="15" customHeight="1">
      <c r="A102" s="672"/>
      <c r="B102" s="144">
        <v>18949250</v>
      </c>
      <c r="C102" s="155" t="s">
        <v>703</v>
      </c>
      <c r="D102" s="93">
        <v>18949000</v>
      </c>
      <c r="E102" s="93">
        <f>'資產機關'!F49</f>
        <v>18949250</v>
      </c>
      <c r="F102" s="95"/>
      <c r="G102" s="95"/>
      <c r="H102" s="93">
        <f t="shared" si="6"/>
        <v>18949250</v>
      </c>
      <c r="I102" s="122"/>
    </row>
    <row r="103" spans="1:9" ht="15" customHeight="1">
      <c r="A103" s="672"/>
      <c r="B103" s="144">
        <v>159964112</v>
      </c>
      <c r="C103" s="155" t="s">
        <v>704</v>
      </c>
      <c r="D103" s="93">
        <v>181042000</v>
      </c>
      <c r="E103" s="93">
        <f>'資產機關'!F50</f>
        <v>102809324</v>
      </c>
      <c r="F103" s="95"/>
      <c r="G103" s="95"/>
      <c r="H103" s="93">
        <f>E103</f>
        <v>102809324</v>
      </c>
      <c r="I103" s="122"/>
    </row>
    <row r="104" spans="1:9" ht="15" customHeight="1">
      <c r="A104" s="672"/>
      <c r="B104" s="107">
        <v>0</v>
      </c>
      <c r="C104" s="155" t="s">
        <v>705</v>
      </c>
      <c r="D104" s="107">
        <v>0</v>
      </c>
      <c r="E104" s="107">
        <f>'資產機關'!F51</f>
        <v>0</v>
      </c>
      <c r="F104" s="112"/>
      <c r="G104" s="112"/>
      <c r="H104" s="107">
        <f>E104</f>
        <v>0</v>
      </c>
      <c r="I104" s="122"/>
    </row>
    <row r="105" spans="1:9" ht="15" customHeight="1">
      <c r="A105" s="672"/>
      <c r="B105" s="93">
        <f>B106</f>
        <v>18355786</v>
      </c>
      <c r="C105" s="156" t="s">
        <v>310</v>
      </c>
      <c r="D105" s="93">
        <f>D106</f>
        <v>18356000</v>
      </c>
      <c r="E105" s="93">
        <f>E106</f>
        <v>18355786</v>
      </c>
      <c r="F105" s="95"/>
      <c r="G105" s="95"/>
      <c r="H105" s="93">
        <f t="shared" si="6"/>
        <v>18355786</v>
      </c>
      <c r="I105" s="122"/>
    </row>
    <row r="106" spans="1:9" ht="15" customHeight="1">
      <c r="A106" s="672"/>
      <c r="B106" s="144">
        <v>18355786</v>
      </c>
      <c r="C106" s="156" t="s">
        <v>311</v>
      </c>
      <c r="D106" s="93">
        <v>18356000</v>
      </c>
      <c r="E106" s="93">
        <v>18355786</v>
      </c>
      <c r="F106" s="95"/>
      <c r="G106" s="95"/>
      <c r="H106" s="93">
        <f t="shared" si="6"/>
        <v>18355786</v>
      </c>
      <c r="I106" s="122"/>
    </row>
    <row r="107" spans="1:8" ht="15" customHeight="1">
      <c r="A107" s="673"/>
      <c r="B107" s="131">
        <f>B96+B86</f>
        <v>429897841</v>
      </c>
      <c r="C107" s="158" t="s">
        <v>251</v>
      </c>
      <c r="D107" s="131">
        <f>D96+D86</f>
        <v>418278000</v>
      </c>
      <c r="E107" s="131">
        <f>E96+E86</f>
        <v>367406612</v>
      </c>
      <c r="F107" s="131"/>
      <c r="G107" s="131"/>
      <c r="H107" s="99">
        <f t="shared" si="6"/>
        <v>367406612</v>
      </c>
    </row>
    <row r="108" ht="16.5">
      <c r="D108" s="53" t="s">
        <v>515</v>
      </c>
    </row>
  </sheetData>
  <sheetProtection/>
  <mergeCells count="12">
    <mergeCell ref="A1:H1"/>
    <mergeCell ref="C2:F2"/>
    <mergeCell ref="F3:G3"/>
    <mergeCell ref="H3:H4"/>
    <mergeCell ref="A3:A4"/>
    <mergeCell ref="C3:C4"/>
    <mergeCell ref="D3:D4"/>
    <mergeCell ref="E3:E4"/>
    <mergeCell ref="A5:A28"/>
    <mergeCell ref="A29:A47"/>
    <mergeCell ref="A48:A65"/>
    <mergeCell ref="A66:A107"/>
  </mergeCells>
  <printOptions horizontalCentered="1" verticalCentered="1"/>
  <pageMargins left="0.5118110236220472" right="0.11811023622047245" top="0.5905511811023623" bottom="0.5905511811023623" header="0" footer="0.31496062992125984"/>
  <pageSetup firstPageNumber="42" useFirstPageNumber="1" horizontalDpi="600" verticalDpi="600" orientation="portrait" pageOrder="overThenDown" paperSize="9" r:id="rId1"/>
  <headerFooter alignWithMargins="0">
    <oddFooter xml:space="preserve">&amp;C&amp;P </oddFooter>
  </headerFooter>
  <rowBreaks count="2" manualBreakCount="2">
    <brk id="28" max="255" man="1"/>
    <brk id="6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47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2" sqref="E82"/>
    </sheetView>
  </sheetViews>
  <sheetFormatPr defaultColWidth="9.00390625" defaultRowHeight="16.5"/>
  <cols>
    <col min="1" max="1" width="5.25390625" style="53" customWidth="1"/>
    <col min="2" max="2" width="10.625" style="53" customWidth="1"/>
    <col min="3" max="3" width="25.875" style="53" customWidth="1"/>
    <col min="4" max="5" width="10.625" style="53" customWidth="1"/>
    <col min="6" max="7" width="5.12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438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C2" s="674" t="s">
        <v>559</v>
      </c>
      <c r="D2" s="674"/>
      <c r="E2" s="674"/>
      <c r="F2" s="674"/>
      <c r="H2" s="82" t="s">
        <v>99</v>
      </c>
    </row>
    <row r="3" spans="1:8" ht="27" customHeight="1">
      <c r="A3" s="666" t="s">
        <v>161</v>
      </c>
      <c r="B3" s="84" t="s">
        <v>162</v>
      </c>
      <c r="C3" s="667" t="s">
        <v>163</v>
      </c>
      <c r="D3" s="667" t="s">
        <v>74</v>
      </c>
      <c r="E3" s="667" t="s">
        <v>164</v>
      </c>
      <c r="F3" s="664" t="s">
        <v>165</v>
      </c>
      <c r="G3" s="665"/>
      <c r="H3" s="666" t="s">
        <v>166</v>
      </c>
    </row>
    <row r="4" spans="1:8" ht="27" customHeight="1">
      <c r="A4" s="666"/>
      <c r="B4" s="85" t="s">
        <v>96</v>
      </c>
      <c r="C4" s="667"/>
      <c r="D4" s="667"/>
      <c r="E4" s="667"/>
      <c r="F4" s="83" t="s">
        <v>167</v>
      </c>
      <c r="G4" s="83" t="s">
        <v>168</v>
      </c>
      <c r="H4" s="666"/>
    </row>
    <row r="5" spans="1:9" ht="27" customHeight="1">
      <c r="A5" s="668" t="s">
        <v>306</v>
      </c>
      <c r="B5" s="159"/>
      <c r="C5" s="135" t="s">
        <v>169</v>
      </c>
      <c r="D5" s="159"/>
      <c r="E5" s="159"/>
      <c r="F5" s="160"/>
      <c r="G5" s="160"/>
      <c r="H5" s="159"/>
      <c r="I5" s="92"/>
    </row>
    <row r="6" spans="1:9" ht="27" customHeight="1">
      <c r="A6" s="669"/>
      <c r="B6" s="93">
        <f>B7+B8</f>
        <v>101649266</v>
      </c>
      <c r="C6" s="94" t="s">
        <v>47</v>
      </c>
      <c r="D6" s="93">
        <f>D7+D8</f>
        <v>162126000</v>
      </c>
      <c r="E6" s="93">
        <f>E7+E8</f>
        <v>159256015</v>
      </c>
      <c r="F6" s="95"/>
      <c r="G6" s="95"/>
      <c r="H6" s="93">
        <f>E6</f>
        <v>159256015</v>
      </c>
      <c r="I6" s="92"/>
    </row>
    <row r="7" spans="1:9" ht="27" customHeight="1">
      <c r="A7" s="670"/>
      <c r="B7" s="93">
        <v>38649266</v>
      </c>
      <c r="C7" s="94" t="s">
        <v>51</v>
      </c>
      <c r="D7" s="93">
        <v>39126000</v>
      </c>
      <c r="E7" s="93">
        <f>'損益機關'!H11</f>
        <v>36256015</v>
      </c>
      <c r="F7" s="95"/>
      <c r="G7" s="95"/>
      <c r="H7" s="93">
        <f aca="true" t="shared" si="0" ref="H7:H27">E7</f>
        <v>36256015</v>
      </c>
      <c r="I7" s="97"/>
    </row>
    <row r="8" spans="1:9" ht="27" customHeight="1">
      <c r="A8" s="670"/>
      <c r="B8" s="93">
        <v>63000000</v>
      </c>
      <c r="C8" s="94" t="s">
        <v>197</v>
      </c>
      <c r="D8" s="93">
        <v>123000000</v>
      </c>
      <c r="E8" s="93">
        <f>'損益機關'!H12</f>
        <v>123000000</v>
      </c>
      <c r="F8" s="95"/>
      <c r="G8" s="95"/>
      <c r="H8" s="93">
        <f t="shared" si="0"/>
        <v>123000000</v>
      </c>
      <c r="I8" s="97"/>
    </row>
    <row r="9" spans="1:9" ht="27" customHeight="1">
      <c r="A9" s="670"/>
      <c r="B9" s="93">
        <f>B10+B11</f>
        <v>75892907</v>
      </c>
      <c r="C9" s="94" t="s">
        <v>52</v>
      </c>
      <c r="D9" s="93">
        <f>D10+D11</f>
        <v>144473000</v>
      </c>
      <c r="E9" s="93">
        <f>E10+E11</f>
        <v>135110147</v>
      </c>
      <c r="F9" s="95"/>
      <c r="G9" s="95"/>
      <c r="H9" s="93">
        <f t="shared" si="0"/>
        <v>135110147</v>
      </c>
      <c r="I9" s="97"/>
    </row>
    <row r="10" spans="1:9" ht="27" customHeight="1">
      <c r="A10" s="670"/>
      <c r="B10" s="93">
        <v>75892907</v>
      </c>
      <c r="C10" s="94" t="s">
        <v>55</v>
      </c>
      <c r="D10" s="93">
        <v>144473000</v>
      </c>
      <c r="E10" s="93">
        <f>'損益機關'!H18</f>
        <v>135110147</v>
      </c>
      <c r="F10" s="95"/>
      <c r="G10" s="95"/>
      <c r="H10" s="93">
        <f t="shared" si="0"/>
        <v>135110147</v>
      </c>
      <c r="I10" s="97"/>
    </row>
    <row r="11" spans="1:9" ht="27" customHeight="1">
      <c r="A11" s="670"/>
      <c r="B11" s="93"/>
      <c r="C11" s="94" t="s">
        <v>56</v>
      </c>
      <c r="D11" s="93"/>
      <c r="E11" s="93"/>
      <c r="F11" s="95"/>
      <c r="G11" s="95"/>
      <c r="H11" s="93"/>
      <c r="I11" s="97"/>
    </row>
    <row r="12" spans="1:9" ht="27" customHeight="1">
      <c r="A12" s="670"/>
      <c r="B12" s="93">
        <f>B6-B9</f>
        <v>25756359</v>
      </c>
      <c r="C12" s="94" t="s">
        <v>170</v>
      </c>
      <c r="D12" s="93">
        <f>D6-D9</f>
        <v>17653000</v>
      </c>
      <c r="E12" s="93">
        <f>E6-E9</f>
        <v>24145868</v>
      </c>
      <c r="F12" s="95"/>
      <c r="G12" s="95"/>
      <c r="H12" s="93">
        <f t="shared" si="0"/>
        <v>24145868</v>
      </c>
      <c r="I12" s="97"/>
    </row>
    <row r="13" spans="1:9" ht="27" customHeight="1">
      <c r="A13" s="670"/>
      <c r="B13" s="93">
        <f>SUM(B14:B16)</f>
        <v>30876805</v>
      </c>
      <c r="C13" s="94" t="s">
        <v>247</v>
      </c>
      <c r="D13" s="93">
        <f>SUM(D14:D16)</f>
        <v>32576000</v>
      </c>
      <c r="E13" s="93">
        <f>SUM(E14:E16)</f>
        <v>31233020</v>
      </c>
      <c r="F13" s="95"/>
      <c r="G13" s="95"/>
      <c r="H13" s="93">
        <f t="shared" si="0"/>
        <v>31233020</v>
      </c>
      <c r="I13" s="97"/>
    </row>
    <row r="14" spans="1:9" ht="27" customHeight="1">
      <c r="A14" s="670"/>
      <c r="B14" s="93">
        <v>6273208</v>
      </c>
      <c r="C14" s="94" t="s">
        <v>234</v>
      </c>
      <c r="D14" s="93">
        <v>6377000</v>
      </c>
      <c r="E14" s="93">
        <f>'損益機關'!H23</f>
        <v>6248375</v>
      </c>
      <c r="F14" s="95"/>
      <c r="G14" s="95"/>
      <c r="H14" s="93">
        <f t="shared" si="0"/>
        <v>6248375</v>
      </c>
      <c r="I14" s="97"/>
    </row>
    <row r="15" spans="1:9" ht="27" customHeight="1">
      <c r="A15" s="670"/>
      <c r="B15" s="93">
        <v>24603597</v>
      </c>
      <c r="C15" s="94" t="s">
        <v>172</v>
      </c>
      <c r="D15" s="93">
        <v>26199000</v>
      </c>
      <c r="E15" s="93">
        <f>'損益機關'!H24</f>
        <v>24984645</v>
      </c>
      <c r="F15" s="95"/>
      <c r="G15" s="95"/>
      <c r="H15" s="93">
        <f t="shared" si="0"/>
        <v>24984645</v>
      </c>
      <c r="I15" s="97"/>
    </row>
    <row r="16" spans="1:9" ht="27" customHeight="1">
      <c r="A16" s="670"/>
      <c r="B16" s="107">
        <v>0</v>
      </c>
      <c r="C16" s="161" t="s">
        <v>210</v>
      </c>
      <c r="D16" s="107">
        <v>0</v>
      </c>
      <c r="E16" s="107">
        <f>'損益機關'!H25</f>
        <v>0</v>
      </c>
      <c r="F16" s="112"/>
      <c r="G16" s="112"/>
      <c r="H16" s="107">
        <f t="shared" si="0"/>
        <v>0</v>
      </c>
      <c r="I16" s="97"/>
    </row>
    <row r="17" spans="1:9" ht="27" customHeight="1">
      <c r="A17" s="670"/>
      <c r="B17" s="93">
        <f>B12-B13</f>
        <v>-5120446</v>
      </c>
      <c r="C17" s="94" t="s">
        <v>248</v>
      </c>
      <c r="D17" s="93">
        <f>D12-D13</f>
        <v>-14923000</v>
      </c>
      <c r="E17" s="93">
        <f>E12-E13</f>
        <v>-7087152</v>
      </c>
      <c r="F17" s="95"/>
      <c r="G17" s="95"/>
      <c r="H17" s="93">
        <f t="shared" si="0"/>
        <v>-7087152</v>
      </c>
      <c r="I17" s="97"/>
    </row>
    <row r="18" spans="1:9" ht="27" customHeight="1">
      <c r="A18" s="670"/>
      <c r="B18" s="93"/>
      <c r="C18" s="94" t="s">
        <v>249</v>
      </c>
      <c r="D18" s="93"/>
      <c r="E18" s="93"/>
      <c r="F18" s="95"/>
      <c r="G18" s="95"/>
      <c r="H18" s="93"/>
      <c r="I18" s="97"/>
    </row>
    <row r="19" spans="1:9" ht="27" customHeight="1">
      <c r="A19" s="670"/>
      <c r="B19" s="93">
        <f>B20+B21</f>
        <v>2288947</v>
      </c>
      <c r="C19" s="94" t="s">
        <v>174</v>
      </c>
      <c r="D19" s="93">
        <f>D20+D21</f>
        <v>1500000</v>
      </c>
      <c r="E19" s="93">
        <f>E20+E21</f>
        <v>2645439</v>
      </c>
      <c r="F19" s="95"/>
      <c r="G19" s="95"/>
      <c r="H19" s="93">
        <f t="shared" si="0"/>
        <v>2645439</v>
      </c>
      <c r="I19" s="98"/>
    </row>
    <row r="20" spans="1:9" ht="27" customHeight="1">
      <c r="A20" s="670"/>
      <c r="B20" s="93">
        <v>710069</v>
      </c>
      <c r="C20" s="94" t="s">
        <v>61</v>
      </c>
      <c r="D20" s="93">
        <v>1000000</v>
      </c>
      <c r="E20" s="93">
        <f>'損益機關'!H28</f>
        <v>958978</v>
      </c>
      <c r="F20" s="95"/>
      <c r="G20" s="95"/>
      <c r="H20" s="93">
        <f t="shared" si="0"/>
        <v>958978</v>
      </c>
      <c r="I20" s="97"/>
    </row>
    <row r="21" spans="1:9" ht="27" customHeight="1">
      <c r="A21" s="670"/>
      <c r="B21" s="93">
        <v>1578878</v>
      </c>
      <c r="C21" s="94" t="s">
        <v>62</v>
      </c>
      <c r="D21" s="93">
        <v>500000</v>
      </c>
      <c r="E21" s="93">
        <f>'損益機關'!H29</f>
        <v>1686461</v>
      </c>
      <c r="F21" s="95"/>
      <c r="G21" s="95"/>
      <c r="H21" s="93">
        <f t="shared" si="0"/>
        <v>1686461</v>
      </c>
      <c r="I21" s="97"/>
    </row>
    <row r="22" spans="1:9" ht="27" customHeight="1">
      <c r="A22" s="670"/>
      <c r="B22" s="107">
        <f>SUM(B23:B24)</f>
        <v>37</v>
      </c>
      <c r="C22" s="161" t="s">
        <v>63</v>
      </c>
      <c r="D22" s="107">
        <f>SUM(D23:D24)</f>
        <v>140000</v>
      </c>
      <c r="E22" s="107">
        <f>SUM(E23:E24)</f>
        <v>53</v>
      </c>
      <c r="F22" s="112"/>
      <c r="G22" s="112"/>
      <c r="H22" s="107">
        <f t="shared" si="0"/>
        <v>53</v>
      </c>
      <c r="I22" s="97"/>
    </row>
    <row r="23" spans="1:9" ht="27" customHeight="1">
      <c r="A23" s="670"/>
      <c r="B23" s="107">
        <v>0</v>
      </c>
      <c r="C23" s="161" t="s">
        <v>211</v>
      </c>
      <c r="D23" s="107">
        <v>0</v>
      </c>
      <c r="E23" s="107">
        <f>'損益機關'!H31</f>
        <v>0</v>
      </c>
      <c r="F23" s="112"/>
      <c r="G23" s="112"/>
      <c r="H23" s="107">
        <f t="shared" si="0"/>
        <v>0</v>
      </c>
      <c r="I23" s="97"/>
    </row>
    <row r="24" spans="1:9" ht="27" customHeight="1">
      <c r="A24" s="670"/>
      <c r="B24" s="105">
        <v>37</v>
      </c>
      <c r="C24" s="161" t="s">
        <v>64</v>
      </c>
      <c r="D24" s="107">
        <v>140000</v>
      </c>
      <c r="E24" s="107">
        <f>'損益機關'!H32</f>
        <v>53</v>
      </c>
      <c r="F24" s="112"/>
      <c r="G24" s="112"/>
      <c r="H24" s="107">
        <f t="shared" si="0"/>
        <v>53</v>
      </c>
      <c r="I24" s="97"/>
    </row>
    <row r="25" spans="1:9" ht="27" customHeight="1">
      <c r="A25" s="670"/>
      <c r="B25" s="93">
        <f>B19-B22</f>
        <v>2288910</v>
      </c>
      <c r="C25" s="94" t="s">
        <v>173</v>
      </c>
      <c r="D25" s="93">
        <f>D19-D22</f>
        <v>1360000</v>
      </c>
      <c r="E25" s="93">
        <f>E19-E22</f>
        <v>2645386</v>
      </c>
      <c r="F25" s="95"/>
      <c r="G25" s="95"/>
      <c r="H25" s="93">
        <f t="shared" si="0"/>
        <v>2645386</v>
      </c>
      <c r="I25" s="97"/>
    </row>
    <row r="26" spans="1:9" ht="27" customHeight="1">
      <c r="A26" s="670"/>
      <c r="B26" s="93">
        <f>B25+B17</f>
        <v>-2831536</v>
      </c>
      <c r="C26" s="94" t="s">
        <v>65</v>
      </c>
      <c r="D26" s="93">
        <f>D25+D17</f>
        <v>-13563000</v>
      </c>
      <c r="E26" s="93">
        <f>E25+E17</f>
        <v>-4441766</v>
      </c>
      <c r="F26" s="95"/>
      <c r="G26" s="95"/>
      <c r="H26" s="93">
        <f t="shared" si="0"/>
        <v>-4441766</v>
      </c>
      <c r="I26" s="97"/>
    </row>
    <row r="27" spans="1:9" ht="27" customHeight="1">
      <c r="A27" s="670"/>
      <c r="B27" s="107">
        <v>0</v>
      </c>
      <c r="C27" s="161" t="s">
        <v>175</v>
      </c>
      <c r="D27" s="107">
        <v>0</v>
      </c>
      <c r="E27" s="107">
        <f>'損益機關'!H35</f>
        <v>0</v>
      </c>
      <c r="F27" s="112"/>
      <c r="G27" s="112"/>
      <c r="H27" s="107">
        <f t="shared" si="0"/>
        <v>0</v>
      </c>
      <c r="I27" s="97"/>
    </row>
    <row r="28" spans="1:9" ht="27" customHeight="1">
      <c r="A28" s="671"/>
      <c r="B28" s="99">
        <f>B26-B27</f>
        <v>-2831536</v>
      </c>
      <c r="C28" s="100" t="s">
        <v>66</v>
      </c>
      <c r="D28" s="99">
        <f>D17+D25</f>
        <v>-13563000</v>
      </c>
      <c r="E28" s="99">
        <f>E26-E27</f>
        <v>-4441766</v>
      </c>
      <c r="F28" s="101"/>
      <c r="G28" s="101"/>
      <c r="H28" s="99">
        <f>E28</f>
        <v>-4441766</v>
      </c>
      <c r="I28" s="97"/>
    </row>
    <row r="29" spans="1:9" ht="16.5" customHeight="1">
      <c r="A29" s="668" t="s">
        <v>307</v>
      </c>
      <c r="B29" s="102"/>
      <c r="C29" s="103" t="s">
        <v>216</v>
      </c>
      <c r="D29" s="102"/>
      <c r="E29" s="102"/>
      <c r="F29" s="104"/>
      <c r="G29" s="104"/>
      <c r="H29" s="93"/>
      <c r="I29" s="97"/>
    </row>
    <row r="30" spans="1:9" ht="16.5" customHeight="1">
      <c r="A30" s="669"/>
      <c r="B30" s="93"/>
      <c r="C30" s="94" t="s">
        <v>176</v>
      </c>
      <c r="D30" s="93"/>
      <c r="E30" s="93"/>
      <c r="F30" s="95"/>
      <c r="G30" s="95"/>
      <c r="H30" s="93"/>
      <c r="I30" s="97"/>
    </row>
    <row r="31" spans="1:9" ht="16.5" customHeight="1">
      <c r="A31" s="669"/>
      <c r="B31" s="93"/>
      <c r="C31" s="94" t="s">
        <v>177</v>
      </c>
      <c r="D31" s="93"/>
      <c r="E31" s="93"/>
      <c r="F31" s="95"/>
      <c r="G31" s="95"/>
      <c r="H31" s="93"/>
      <c r="I31" s="97"/>
    </row>
    <row r="32" spans="1:9" ht="16.5" customHeight="1">
      <c r="A32" s="669"/>
      <c r="B32" s="93"/>
      <c r="C32" s="106" t="s">
        <v>179</v>
      </c>
      <c r="D32" s="93"/>
      <c r="E32" s="93"/>
      <c r="F32" s="95"/>
      <c r="G32" s="95"/>
      <c r="H32" s="93"/>
      <c r="I32" s="97"/>
    </row>
    <row r="33" spans="1:9" ht="16.5" customHeight="1">
      <c r="A33" s="669"/>
      <c r="B33" s="93"/>
      <c r="C33" s="106" t="s">
        <v>214</v>
      </c>
      <c r="D33" s="93"/>
      <c r="E33" s="93"/>
      <c r="F33" s="95"/>
      <c r="G33" s="95"/>
      <c r="H33" s="93"/>
      <c r="I33" s="97"/>
    </row>
    <row r="34" spans="1:9" ht="16.5" customHeight="1">
      <c r="A34" s="670"/>
      <c r="B34" s="93"/>
      <c r="C34" s="106" t="s">
        <v>407</v>
      </c>
      <c r="D34" s="93"/>
      <c r="E34" s="93"/>
      <c r="F34" s="95"/>
      <c r="G34" s="95"/>
      <c r="H34" s="93"/>
      <c r="I34" s="97"/>
    </row>
    <row r="35" spans="1:9" ht="16.5" customHeight="1">
      <c r="A35" s="670"/>
      <c r="B35" s="93"/>
      <c r="C35" s="106" t="s">
        <v>215</v>
      </c>
      <c r="D35" s="93"/>
      <c r="E35" s="93"/>
      <c r="F35" s="95"/>
      <c r="G35" s="95"/>
      <c r="H35" s="93"/>
      <c r="I35" s="97"/>
    </row>
    <row r="36" spans="1:9" ht="16.5" customHeight="1">
      <c r="A36" s="670"/>
      <c r="B36" s="93">
        <f>SUM(B37:B38)</f>
        <v>23624390</v>
      </c>
      <c r="C36" s="94" t="s">
        <v>23</v>
      </c>
      <c r="D36" s="93">
        <f>SUM(D37:D38)</f>
        <v>48485000</v>
      </c>
      <c r="E36" s="93">
        <f>SUM(E37:E38)</f>
        <v>28066156</v>
      </c>
      <c r="F36" s="95"/>
      <c r="G36" s="95"/>
      <c r="H36" s="93">
        <f aca="true" t="shared" si="1" ref="H36:H47">E36</f>
        <v>28066156</v>
      </c>
      <c r="I36" s="97"/>
    </row>
    <row r="37" spans="1:9" ht="16.5" customHeight="1">
      <c r="A37" s="670"/>
      <c r="B37" s="105">
        <v>2831536</v>
      </c>
      <c r="C37" s="94" t="s">
        <v>24</v>
      </c>
      <c r="D37" s="93">
        <v>13563000</v>
      </c>
      <c r="E37" s="93">
        <f>'盈虧撥補'!H26</f>
        <v>4441766</v>
      </c>
      <c r="F37" s="95"/>
      <c r="G37" s="95"/>
      <c r="H37" s="93">
        <f t="shared" si="1"/>
        <v>4441766</v>
      </c>
      <c r="I37" s="97"/>
    </row>
    <row r="38" spans="1:9" ht="16.5" customHeight="1">
      <c r="A38" s="670"/>
      <c r="B38" s="105">
        <v>20792854</v>
      </c>
      <c r="C38" s="94" t="s">
        <v>25</v>
      </c>
      <c r="D38" s="93">
        <v>34922000</v>
      </c>
      <c r="E38" s="93">
        <f>'盈虧撥補'!H27</f>
        <v>23624390</v>
      </c>
      <c r="F38" s="95"/>
      <c r="G38" s="95"/>
      <c r="H38" s="93">
        <f t="shared" si="1"/>
        <v>23624390</v>
      </c>
      <c r="I38" s="97"/>
    </row>
    <row r="39" spans="1:9" ht="16.5" customHeight="1">
      <c r="A39" s="670"/>
      <c r="B39" s="93">
        <f>SUM(B40:B42)</f>
        <v>23624390</v>
      </c>
      <c r="C39" s="94" t="s">
        <v>67</v>
      </c>
      <c r="D39" s="93">
        <f>SUM(D40:D42)</f>
        <v>48485000</v>
      </c>
      <c r="E39" s="93">
        <f>SUM(E40:E42)</f>
        <v>28066156</v>
      </c>
      <c r="F39" s="95"/>
      <c r="G39" s="95"/>
      <c r="H39" s="93">
        <f t="shared" si="1"/>
        <v>28066156</v>
      </c>
      <c r="I39" s="97"/>
    </row>
    <row r="40" spans="1:9" ht="16.5" customHeight="1">
      <c r="A40" s="670"/>
      <c r="B40" s="107">
        <v>0</v>
      </c>
      <c r="C40" s="161" t="s">
        <v>27</v>
      </c>
      <c r="D40" s="107">
        <v>0</v>
      </c>
      <c r="E40" s="107">
        <f>'盈虧撥補'!H30</f>
        <v>0</v>
      </c>
      <c r="F40" s="112"/>
      <c r="G40" s="112"/>
      <c r="H40" s="107">
        <f t="shared" si="1"/>
        <v>0</v>
      </c>
      <c r="I40" s="97"/>
    </row>
    <row r="41" spans="1:9" ht="16.5" customHeight="1">
      <c r="A41" s="670"/>
      <c r="B41" s="107">
        <v>0</v>
      </c>
      <c r="C41" s="161" t="s">
        <v>28</v>
      </c>
      <c r="D41" s="107">
        <v>0</v>
      </c>
      <c r="E41" s="107">
        <f>'盈虧撥補'!H31</f>
        <v>0</v>
      </c>
      <c r="F41" s="112"/>
      <c r="G41" s="112"/>
      <c r="H41" s="107">
        <f t="shared" si="1"/>
        <v>0</v>
      </c>
      <c r="I41" s="97"/>
    </row>
    <row r="42" spans="1:9" ht="16.5" customHeight="1">
      <c r="A42" s="670"/>
      <c r="B42" s="93">
        <f>SUM(B43:B47)</f>
        <v>23624390</v>
      </c>
      <c r="C42" s="94" t="s">
        <v>252</v>
      </c>
      <c r="D42" s="93">
        <f>SUM(D43:D47)</f>
        <v>48485000</v>
      </c>
      <c r="E42" s="93">
        <f>SUM(E43:E47)</f>
        <v>28066156</v>
      </c>
      <c r="F42" s="95"/>
      <c r="G42" s="95"/>
      <c r="H42" s="93">
        <f t="shared" si="1"/>
        <v>28066156</v>
      </c>
      <c r="I42" s="97"/>
    </row>
    <row r="43" spans="1:9" ht="16.5" customHeight="1">
      <c r="A43" s="670"/>
      <c r="B43" s="107">
        <v>0</v>
      </c>
      <c r="C43" s="161" t="s">
        <v>29</v>
      </c>
      <c r="D43" s="107">
        <v>0</v>
      </c>
      <c r="E43" s="107">
        <f>'盈虧撥補'!H33</f>
        <v>0</v>
      </c>
      <c r="F43" s="112"/>
      <c r="G43" s="112"/>
      <c r="H43" s="107">
        <f t="shared" si="1"/>
        <v>0</v>
      </c>
      <c r="I43" s="97"/>
    </row>
    <row r="44" spans="1:9" ht="16.5" customHeight="1">
      <c r="A44" s="670"/>
      <c r="B44" s="107">
        <v>0</v>
      </c>
      <c r="C44" s="161" t="s">
        <v>30</v>
      </c>
      <c r="D44" s="107">
        <v>0</v>
      </c>
      <c r="E44" s="107">
        <f>'盈虧撥補'!H34</f>
        <v>0</v>
      </c>
      <c r="F44" s="112"/>
      <c r="G44" s="112"/>
      <c r="H44" s="107">
        <f t="shared" si="1"/>
        <v>0</v>
      </c>
      <c r="I44" s="97"/>
    </row>
    <row r="45" spans="1:9" ht="16.5" customHeight="1">
      <c r="A45" s="670"/>
      <c r="B45" s="107">
        <v>0</v>
      </c>
      <c r="C45" s="161" t="s">
        <v>31</v>
      </c>
      <c r="D45" s="107">
        <v>0</v>
      </c>
      <c r="E45" s="107">
        <f>'盈虧撥補'!H35</f>
        <v>0</v>
      </c>
      <c r="F45" s="112"/>
      <c r="G45" s="112"/>
      <c r="H45" s="107">
        <f t="shared" si="1"/>
        <v>0</v>
      </c>
      <c r="I45" s="97"/>
    </row>
    <row r="46" spans="1:9" ht="16.5" customHeight="1">
      <c r="A46" s="670"/>
      <c r="B46" s="107">
        <v>0</v>
      </c>
      <c r="C46" s="161" t="s">
        <v>32</v>
      </c>
      <c r="D46" s="107">
        <v>0</v>
      </c>
      <c r="E46" s="107">
        <f>'盈虧撥補'!H36</f>
        <v>0</v>
      </c>
      <c r="F46" s="112"/>
      <c r="G46" s="112"/>
      <c r="H46" s="107">
        <f t="shared" si="1"/>
        <v>0</v>
      </c>
      <c r="I46" s="97"/>
    </row>
    <row r="47" spans="1:9" ht="16.5" customHeight="1">
      <c r="A47" s="670"/>
      <c r="B47" s="162">
        <v>23624390</v>
      </c>
      <c r="C47" s="94" t="s">
        <v>33</v>
      </c>
      <c r="D47" s="93">
        <v>48485000</v>
      </c>
      <c r="E47" s="93">
        <f>'盈虧撥補'!H37</f>
        <v>28066156</v>
      </c>
      <c r="F47" s="95"/>
      <c r="G47" s="95"/>
      <c r="H47" s="99">
        <f t="shared" si="1"/>
        <v>28066156</v>
      </c>
      <c r="I47" s="97"/>
    </row>
    <row r="48" spans="1:9" ht="18" customHeight="1">
      <c r="A48" s="668" t="s">
        <v>308</v>
      </c>
      <c r="B48" s="102"/>
      <c r="C48" s="163" t="s">
        <v>180</v>
      </c>
      <c r="D48" s="102"/>
      <c r="E48" s="102"/>
      <c r="F48" s="104"/>
      <c r="G48" s="104"/>
      <c r="H48" s="93"/>
      <c r="I48" s="97"/>
    </row>
    <row r="49" spans="1:9" ht="18" customHeight="1">
      <c r="A49" s="672"/>
      <c r="B49" s="96">
        <v>-2831536</v>
      </c>
      <c r="C49" s="111" t="s">
        <v>217</v>
      </c>
      <c r="D49" s="93">
        <v>-13563000</v>
      </c>
      <c r="E49" s="93">
        <f>'現金機關'!E7</f>
        <v>-4441766</v>
      </c>
      <c r="F49" s="95"/>
      <c r="G49" s="95"/>
      <c r="H49" s="93">
        <f aca="true" t="shared" si="2" ref="H49:H55">E49</f>
        <v>-4441766</v>
      </c>
      <c r="I49" s="97"/>
    </row>
    <row r="50" spans="1:9" ht="18" customHeight="1">
      <c r="A50" s="672"/>
      <c r="B50" s="96">
        <v>13465573</v>
      </c>
      <c r="C50" s="111" t="s">
        <v>218</v>
      </c>
      <c r="D50" s="93">
        <v>72851000</v>
      </c>
      <c r="E50" s="93">
        <f>'現金機關'!E8</f>
        <v>11879150</v>
      </c>
      <c r="F50" s="95"/>
      <c r="G50" s="95"/>
      <c r="H50" s="93">
        <f t="shared" si="2"/>
        <v>11879150</v>
      </c>
      <c r="I50" s="97"/>
    </row>
    <row r="51" spans="1:9" ht="18" customHeight="1">
      <c r="A51" s="672"/>
      <c r="B51" s="93">
        <f>B50+B49</f>
        <v>10634037</v>
      </c>
      <c r="C51" s="164" t="s">
        <v>396</v>
      </c>
      <c r="D51" s="93">
        <f>D50+D49</f>
        <v>59288000</v>
      </c>
      <c r="E51" s="93">
        <f>E50+E49</f>
        <v>7437384</v>
      </c>
      <c r="F51" s="95"/>
      <c r="G51" s="95"/>
      <c r="H51" s="93">
        <f t="shared" si="2"/>
        <v>7437384</v>
      </c>
      <c r="I51" s="97"/>
    </row>
    <row r="52" spans="1:9" ht="18" customHeight="1">
      <c r="A52" s="672"/>
      <c r="B52" s="93"/>
      <c r="C52" s="111" t="s">
        <v>1</v>
      </c>
      <c r="D52" s="93"/>
      <c r="E52" s="93"/>
      <c r="F52" s="95"/>
      <c r="G52" s="95"/>
      <c r="H52" s="93"/>
      <c r="I52" s="97"/>
    </row>
    <row r="53" spans="1:9" ht="18" customHeight="1">
      <c r="A53" s="672"/>
      <c r="B53" s="107">
        <v>0</v>
      </c>
      <c r="C53" s="165" t="s">
        <v>232</v>
      </c>
      <c r="D53" s="107">
        <v>0</v>
      </c>
      <c r="E53" s="107">
        <f>'現金機關'!E25</f>
        <v>0</v>
      </c>
      <c r="F53" s="112"/>
      <c r="G53" s="112"/>
      <c r="H53" s="107">
        <f>E53</f>
        <v>0</v>
      </c>
      <c r="I53" s="97"/>
    </row>
    <row r="54" spans="1:9" ht="18" customHeight="1">
      <c r="A54" s="672"/>
      <c r="B54" s="129">
        <v>0</v>
      </c>
      <c r="C54" s="164" t="s">
        <v>219</v>
      </c>
      <c r="D54" s="108">
        <v>0</v>
      </c>
      <c r="E54" s="108">
        <f>'現金機關'!E23</f>
        <v>0</v>
      </c>
      <c r="F54" s="109"/>
      <c r="G54" s="109"/>
      <c r="H54" s="108">
        <f t="shared" si="2"/>
        <v>0</v>
      </c>
      <c r="I54" s="97"/>
    </row>
    <row r="55" spans="1:9" ht="18" customHeight="1">
      <c r="A55" s="672"/>
      <c r="B55" s="107">
        <v>0</v>
      </c>
      <c r="C55" s="111" t="s">
        <v>231</v>
      </c>
      <c r="D55" s="108">
        <v>0</v>
      </c>
      <c r="E55" s="108">
        <f>'現金機關'!E22</f>
        <v>0</v>
      </c>
      <c r="F55" s="109"/>
      <c r="G55" s="109"/>
      <c r="H55" s="108">
        <f t="shared" si="2"/>
        <v>0</v>
      </c>
      <c r="I55" s="97"/>
    </row>
    <row r="56" spans="1:9" ht="18" customHeight="1">
      <c r="A56" s="672"/>
      <c r="B56" s="96">
        <v>-303754</v>
      </c>
      <c r="C56" s="111" t="s">
        <v>221</v>
      </c>
      <c r="D56" s="93">
        <v>-1090000</v>
      </c>
      <c r="E56" s="93">
        <f>'現金機關'!E26</f>
        <v>-937943</v>
      </c>
      <c r="F56" s="95"/>
      <c r="G56" s="95"/>
      <c r="H56" s="93">
        <f aca="true" t="shared" si="3" ref="H56:H65">E56</f>
        <v>-937943</v>
      </c>
      <c r="I56" s="97"/>
    </row>
    <row r="57" spans="1:9" ht="18" customHeight="1">
      <c r="A57" s="672"/>
      <c r="B57" s="93">
        <f>SUM(B53:B56)</f>
        <v>-303754</v>
      </c>
      <c r="C57" s="164" t="s">
        <v>397</v>
      </c>
      <c r="D57" s="93">
        <f>SUM(D53:D56)</f>
        <v>-1090000</v>
      </c>
      <c r="E57" s="93">
        <f>SUM(E53:E56)</f>
        <v>-937943</v>
      </c>
      <c r="F57" s="95"/>
      <c r="G57" s="95"/>
      <c r="H57" s="93">
        <f t="shared" si="3"/>
        <v>-937943</v>
      </c>
      <c r="I57" s="97"/>
    </row>
    <row r="58" spans="1:9" ht="18" customHeight="1">
      <c r="A58" s="672"/>
      <c r="B58" s="93" t="s">
        <v>139</v>
      </c>
      <c r="C58" s="111" t="s">
        <v>181</v>
      </c>
      <c r="D58" s="93" t="s">
        <v>546</v>
      </c>
      <c r="E58" s="93" t="s">
        <v>139</v>
      </c>
      <c r="F58" s="95"/>
      <c r="G58" s="95"/>
      <c r="H58" s="93" t="str">
        <f t="shared" si="3"/>
        <v> </v>
      </c>
      <c r="I58" s="97"/>
    </row>
    <row r="59" spans="1:9" ht="18" customHeight="1">
      <c r="A59" s="672"/>
      <c r="B59" s="96">
        <v>6180</v>
      </c>
      <c r="C59" s="111" t="s">
        <v>459</v>
      </c>
      <c r="D59" s="93">
        <v>-546000</v>
      </c>
      <c r="E59" s="93">
        <f>'現金機關'!E30</f>
        <v>-26760</v>
      </c>
      <c r="F59" s="95"/>
      <c r="G59" s="95"/>
      <c r="H59" s="93">
        <f t="shared" si="3"/>
        <v>-26760</v>
      </c>
      <c r="I59" s="97"/>
    </row>
    <row r="60" spans="1:9" ht="18" customHeight="1">
      <c r="A60" s="672"/>
      <c r="B60" s="107">
        <v>0</v>
      </c>
      <c r="C60" s="111" t="s">
        <v>230</v>
      </c>
      <c r="D60" s="107">
        <v>0</v>
      </c>
      <c r="E60" s="107">
        <f>'現金機關'!E31</f>
        <v>0</v>
      </c>
      <c r="F60" s="112"/>
      <c r="G60" s="112"/>
      <c r="H60" s="107">
        <f t="shared" si="3"/>
        <v>0</v>
      </c>
      <c r="I60" s="97"/>
    </row>
    <row r="61" spans="1:9" ht="18" customHeight="1">
      <c r="A61" s="672"/>
      <c r="B61" s="96">
        <v>-7826831</v>
      </c>
      <c r="C61" s="111" t="s">
        <v>460</v>
      </c>
      <c r="D61" s="93">
        <v>-69650000</v>
      </c>
      <c r="E61" s="93">
        <f>'現金機關'!E32</f>
        <v>-2185176</v>
      </c>
      <c r="F61" s="95"/>
      <c r="G61" s="95"/>
      <c r="H61" s="93">
        <f t="shared" si="3"/>
        <v>-2185176</v>
      </c>
      <c r="I61" s="97"/>
    </row>
    <row r="62" spans="1:9" ht="18" customHeight="1">
      <c r="A62" s="672"/>
      <c r="B62" s="93">
        <f>SUM(B59:B61)</f>
        <v>-7820651</v>
      </c>
      <c r="C62" s="164" t="s">
        <v>398</v>
      </c>
      <c r="D62" s="93">
        <f>SUM(D59:D61)</f>
        <v>-70196000</v>
      </c>
      <c r="E62" s="93">
        <f>SUM(E59:E61)</f>
        <v>-2211936</v>
      </c>
      <c r="F62" s="95"/>
      <c r="G62" s="95"/>
      <c r="H62" s="93">
        <f t="shared" si="3"/>
        <v>-2211936</v>
      </c>
      <c r="I62" s="92"/>
    </row>
    <row r="63" spans="1:9" ht="18" customHeight="1">
      <c r="A63" s="672"/>
      <c r="B63" s="93">
        <f>B62+B57+B51</f>
        <v>2509632</v>
      </c>
      <c r="C63" s="166" t="s">
        <v>46</v>
      </c>
      <c r="D63" s="93">
        <f>D62+D57+D51</f>
        <v>-11998000</v>
      </c>
      <c r="E63" s="93">
        <f>E62+E57+E51</f>
        <v>4287505</v>
      </c>
      <c r="F63" s="95"/>
      <c r="G63" s="95"/>
      <c r="H63" s="93">
        <f t="shared" si="3"/>
        <v>4287505</v>
      </c>
      <c r="I63" s="116"/>
    </row>
    <row r="64" spans="1:9" ht="18" customHeight="1">
      <c r="A64" s="672"/>
      <c r="B64" s="96">
        <v>131022032</v>
      </c>
      <c r="C64" s="166" t="s">
        <v>227</v>
      </c>
      <c r="D64" s="93">
        <v>118363000</v>
      </c>
      <c r="E64" s="93">
        <f>'現金機關'!E37</f>
        <v>133531664</v>
      </c>
      <c r="F64" s="95"/>
      <c r="G64" s="95"/>
      <c r="H64" s="93">
        <f t="shared" si="3"/>
        <v>133531664</v>
      </c>
      <c r="I64" s="116"/>
    </row>
    <row r="65" spans="1:9" ht="18" customHeight="1">
      <c r="A65" s="673"/>
      <c r="B65" s="99">
        <f>B64+B63</f>
        <v>133531664</v>
      </c>
      <c r="C65" s="167" t="s">
        <v>228</v>
      </c>
      <c r="D65" s="99">
        <f>D64+D63</f>
        <v>106365000</v>
      </c>
      <c r="E65" s="99">
        <f>E64+E63</f>
        <v>137819169</v>
      </c>
      <c r="F65" s="101"/>
      <c r="G65" s="101"/>
      <c r="H65" s="99">
        <f t="shared" si="3"/>
        <v>137819169</v>
      </c>
      <c r="I65" s="116"/>
    </row>
    <row r="66" spans="1:9" ht="15.75" customHeight="1">
      <c r="A66" s="668" t="s">
        <v>309</v>
      </c>
      <c r="B66" s="102">
        <f>B67+B73+B81+B83</f>
        <v>166515021</v>
      </c>
      <c r="C66" s="103" t="s">
        <v>185</v>
      </c>
      <c r="D66" s="102">
        <f>D67+D73+D81+D83</f>
        <v>133266000</v>
      </c>
      <c r="E66" s="102">
        <f>E67+E73+E81+E83</f>
        <v>168452154</v>
      </c>
      <c r="F66" s="104"/>
      <c r="G66" s="104"/>
      <c r="H66" s="102">
        <f>H67+H73+H81+H83</f>
        <v>168452154</v>
      </c>
      <c r="I66" s="116"/>
    </row>
    <row r="67" spans="1:9" ht="15.75" customHeight="1">
      <c r="A67" s="672"/>
      <c r="B67" s="93">
        <f>SUM(B68:B72)</f>
        <v>139909820</v>
      </c>
      <c r="C67" s="117" t="s">
        <v>706</v>
      </c>
      <c r="D67" s="93">
        <f>SUM(D68:D72)</f>
        <v>110065000</v>
      </c>
      <c r="E67" s="93">
        <f>'資產機關'!H8</f>
        <v>144521532</v>
      </c>
      <c r="F67" s="95"/>
      <c r="G67" s="95"/>
      <c r="H67" s="93">
        <f>SUM(H68:H72)</f>
        <v>144521532</v>
      </c>
      <c r="I67" s="116"/>
    </row>
    <row r="68" spans="1:9" ht="15.75" customHeight="1">
      <c r="A68" s="672"/>
      <c r="B68" s="144">
        <v>133531664</v>
      </c>
      <c r="C68" s="118" t="s">
        <v>707</v>
      </c>
      <c r="D68" s="93">
        <v>106365000</v>
      </c>
      <c r="E68" s="93">
        <f>'資產機關'!H9</f>
        <v>137819169</v>
      </c>
      <c r="F68" s="95"/>
      <c r="G68" s="95"/>
      <c r="H68" s="93">
        <f>E68</f>
        <v>137819169</v>
      </c>
      <c r="I68" s="116"/>
    </row>
    <row r="69" spans="1:9" ht="15.75" customHeight="1">
      <c r="A69" s="672"/>
      <c r="B69" s="144">
        <v>2091454</v>
      </c>
      <c r="C69" s="118" t="s">
        <v>708</v>
      </c>
      <c r="D69" s="93">
        <v>1100000</v>
      </c>
      <c r="E69" s="93">
        <f>'資產機關'!H10</f>
        <v>2124818</v>
      </c>
      <c r="F69" s="95"/>
      <c r="G69" s="95"/>
      <c r="H69" s="93">
        <f>E69</f>
        <v>2124818</v>
      </c>
      <c r="I69" s="116"/>
    </row>
    <row r="70" spans="1:9" ht="15.75" customHeight="1">
      <c r="A70" s="672"/>
      <c r="B70" s="144">
        <v>4102974</v>
      </c>
      <c r="C70" s="118" t="s">
        <v>709</v>
      </c>
      <c r="D70" s="93">
        <v>2600000</v>
      </c>
      <c r="E70" s="93">
        <f>'資產機關'!H11</f>
        <v>4577545</v>
      </c>
      <c r="F70" s="95"/>
      <c r="G70" s="95"/>
      <c r="H70" s="93">
        <f>E70</f>
        <v>4577545</v>
      </c>
      <c r="I70" s="116"/>
    </row>
    <row r="71" spans="1:9" ht="15.75" customHeight="1">
      <c r="A71" s="672"/>
      <c r="B71" s="107">
        <v>183728</v>
      </c>
      <c r="C71" s="118" t="s">
        <v>710</v>
      </c>
      <c r="D71" s="107">
        <v>0</v>
      </c>
      <c r="E71" s="107">
        <f>'資產機關'!H12</f>
        <v>0</v>
      </c>
      <c r="F71" s="95"/>
      <c r="G71" s="95"/>
      <c r="H71" s="107">
        <f>E71</f>
        <v>0</v>
      </c>
      <c r="I71" s="116"/>
    </row>
    <row r="72" spans="1:9" ht="15.75" customHeight="1">
      <c r="A72" s="672"/>
      <c r="B72" s="107">
        <v>0</v>
      </c>
      <c r="C72" s="121" t="s">
        <v>503</v>
      </c>
      <c r="D72" s="107">
        <v>0</v>
      </c>
      <c r="E72" s="107">
        <f>'資產機關'!H13</f>
        <v>0</v>
      </c>
      <c r="F72" s="95"/>
      <c r="G72" s="95"/>
      <c r="H72" s="108">
        <f>E72</f>
        <v>0</v>
      </c>
      <c r="I72" s="116"/>
    </row>
    <row r="73" spans="1:9" ht="15.75" customHeight="1">
      <c r="A73" s="672"/>
      <c r="B73" s="93">
        <f>SUM(B74:B80)</f>
        <v>26510031</v>
      </c>
      <c r="C73" s="117" t="s">
        <v>711</v>
      </c>
      <c r="D73" s="93">
        <f>SUM(D74:D80)</f>
        <v>23114000</v>
      </c>
      <c r="E73" s="93">
        <f>'資產機關'!H16</f>
        <v>23843262</v>
      </c>
      <c r="F73" s="95"/>
      <c r="G73" s="95"/>
      <c r="H73" s="93">
        <f aca="true" t="shared" si="4" ref="H73:H82">E73</f>
        <v>23843262</v>
      </c>
      <c r="I73" s="116"/>
    </row>
    <row r="74" spans="1:9" ht="15.75" customHeight="1">
      <c r="A74" s="672"/>
      <c r="B74" s="144">
        <v>576160</v>
      </c>
      <c r="C74" s="118" t="s">
        <v>712</v>
      </c>
      <c r="D74" s="93">
        <v>576000</v>
      </c>
      <c r="E74" s="93">
        <f>'資產機關'!H17</f>
        <v>576160</v>
      </c>
      <c r="F74" s="95"/>
      <c r="G74" s="95"/>
      <c r="H74" s="93">
        <f t="shared" si="4"/>
        <v>576160</v>
      </c>
      <c r="I74" s="116"/>
    </row>
    <row r="75" spans="1:9" ht="15.75" customHeight="1">
      <c r="A75" s="672"/>
      <c r="B75" s="144">
        <v>539914</v>
      </c>
      <c r="C75" s="118" t="s">
        <v>713</v>
      </c>
      <c r="D75" s="93">
        <v>493000</v>
      </c>
      <c r="E75" s="93">
        <f>'資產機關'!H18</f>
        <v>496402</v>
      </c>
      <c r="F75" s="95"/>
      <c r="G75" s="95"/>
      <c r="H75" s="93">
        <f t="shared" si="4"/>
        <v>496402</v>
      </c>
      <c r="I75" s="116"/>
    </row>
    <row r="76" spans="1:9" ht="15.75" customHeight="1">
      <c r="A76" s="672"/>
      <c r="B76" s="144">
        <v>11627239</v>
      </c>
      <c r="C76" s="118" t="s">
        <v>714</v>
      </c>
      <c r="D76" s="93">
        <v>10739000</v>
      </c>
      <c r="E76" s="93">
        <f>'資產機關'!H19</f>
        <v>10759747</v>
      </c>
      <c r="F76" s="95"/>
      <c r="G76" s="95"/>
      <c r="H76" s="93">
        <f t="shared" si="4"/>
        <v>10759747</v>
      </c>
      <c r="I76" s="116"/>
    </row>
    <row r="77" spans="1:9" ht="15.75" customHeight="1">
      <c r="A77" s="672"/>
      <c r="B77" s="144">
        <v>12945681</v>
      </c>
      <c r="C77" s="118" t="s">
        <v>715</v>
      </c>
      <c r="D77" s="93">
        <v>10004000</v>
      </c>
      <c r="E77" s="93">
        <f>'資產機關'!H20</f>
        <v>10610197</v>
      </c>
      <c r="F77" s="95"/>
      <c r="G77" s="95"/>
      <c r="H77" s="93">
        <f t="shared" si="4"/>
        <v>10610197</v>
      </c>
      <c r="I77" s="116"/>
    </row>
    <row r="78" spans="1:9" ht="15.75" customHeight="1">
      <c r="A78" s="672"/>
      <c r="B78" s="144">
        <v>7658</v>
      </c>
      <c r="C78" s="118" t="s">
        <v>716</v>
      </c>
      <c r="D78" s="107">
        <v>6000</v>
      </c>
      <c r="E78" s="93">
        <f>'資產機關'!H21</f>
        <v>5654</v>
      </c>
      <c r="F78" s="95"/>
      <c r="G78" s="95"/>
      <c r="H78" s="93">
        <f t="shared" si="4"/>
        <v>5654</v>
      </c>
      <c r="I78" s="116"/>
    </row>
    <row r="79" spans="1:9" ht="15.75" customHeight="1">
      <c r="A79" s="672"/>
      <c r="B79" s="144">
        <v>813379</v>
      </c>
      <c r="C79" s="118" t="s">
        <v>717</v>
      </c>
      <c r="D79" s="93">
        <v>1296000</v>
      </c>
      <c r="E79" s="93">
        <f>'資產機關'!H22</f>
        <v>1395102</v>
      </c>
      <c r="F79" s="95"/>
      <c r="G79" s="95"/>
      <c r="H79" s="93">
        <f t="shared" si="4"/>
        <v>1395102</v>
      </c>
      <c r="I79" s="116"/>
    </row>
    <row r="80" spans="1:9" ht="15.75" customHeight="1">
      <c r="A80" s="672"/>
      <c r="B80" s="107">
        <v>0</v>
      </c>
      <c r="C80" s="119" t="s">
        <v>229</v>
      </c>
      <c r="D80" s="107">
        <v>0</v>
      </c>
      <c r="E80" s="107">
        <f>'資產機關'!H24</f>
        <v>0</v>
      </c>
      <c r="F80" s="112"/>
      <c r="G80" s="112"/>
      <c r="H80" s="107">
        <f t="shared" si="4"/>
        <v>0</v>
      </c>
      <c r="I80" s="116"/>
    </row>
    <row r="81" spans="1:9" ht="15.75" customHeight="1">
      <c r="A81" s="672"/>
      <c r="B81" s="93">
        <f>SUM(B82)</f>
        <v>7810</v>
      </c>
      <c r="C81" s="117" t="s">
        <v>718</v>
      </c>
      <c r="D81" s="107">
        <f>SUM(D82)</f>
        <v>0</v>
      </c>
      <c r="E81" s="107">
        <f>SUM(E82)</f>
        <v>0</v>
      </c>
      <c r="F81" s="95"/>
      <c r="G81" s="95"/>
      <c r="H81" s="107">
        <f t="shared" si="4"/>
        <v>0</v>
      </c>
      <c r="I81" s="116"/>
    </row>
    <row r="82" spans="1:9" ht="15.75" customHeight="1">
      <c r="A82" s="672"/>
      <c r="B82" s="144">
        <v>7810</v>
      </c>
      <c r="C82" s="118" t="s">
        <v>719</v>
      </c>
      <c r="D82" s="107">
        <v>0</v>
      </c>
      <c r="E82" s="107">
        <v>0</v>
      </c>
      <c r="F82" s="95"/>
      <c r="G82" s="95"/>
      <c r="H82" s="107">
        <f t="shared" si="4"/>
        <v>0</v>
      </c>
      <c r="I82" s="116"/>
    </row>
    <row r="83" spans="1:9" ht="15.75" customHeight="1">
      <c r="A83" s="672"/>
      <c r="B83" s="93">
        <f>B84</f>
        <v>87360</v>
      </c>
      <c r="C83" s="117" t="s">
        <v>720</v>
      </c>
      <c r="D83" s="93">
        <f>D84+D85</f>
        <v>87000</v>
      </c>
      <c r="E83" s="93">
        <f>E84+E85</f>
        <v>87360</v>
      </c>
      <c r="F83" s="95"/>
      <c r="G83" s="95"/>
      <c r="H83" s="93">
        <f>E83</f>
        <v>87360</v>
      </c>
      <c r="I83" s="116"/>
    </row>
    <row r="84" spans="1:9" ht="15.75" customHeight="1">
      <c r="A84" s="672"/>
      <c r="B84" s="93">
        <v>87360</v>
      </c>
      <c r="C84" s="118" t="s">
        <v>721</v>
      </c>
      <c r="D84" s="93">
        <v>87000</v>
      </c>
      <c r="E84" s="93">
        <f>'資產機關'!H29</f>
        <v>87360</v>
      </c>
      <c r="F84" s="95"/>
      <c r="G84" s="95"/>
      <c r="H84" s="93">
        <f>E84</f>
        <v>87360</v>
      </c>
      <c r="I84" s="122"/>
    </row>
    <row r="85" spans="1:9" ht="15.75" customHeight="1">
      <c r="A85" s="672"/>
      <c r="B85" s="107">
        <v>0</v>
      </c>
      <c r="C85" s="118" t="s">
        <v>722</v>
      </c>
      <c r="D85" s="107">
        <v>0</v>
      </c>
      <c r="E85" s="107">
        <f>'資產機關'!H28</f>
        <v>0</v>
      </c>
      <c r="F85" s="112"/>
      <c r="G85" s="112"/>
      <c r="H85" s="107">
        <f>E85</f>
        <v>0</v>
      </c>
      <c r="I85" s="122"/>
    </row>
    <row r="86" spans="1:9" ht="15.75" customHeight="1">
      <c r="A86" s="672"/>
      <c r="B86" s="93">
        <f>B66</f>
        <v>166515021</v>
      </c>
      <c r="C86" s="94" t="s">
        <v>253</v>
      </c>
      <c r="D86" s="93">
        <f>D66</f>
        <v>133266000</v>
      </c>
      <c r="E86" s="93">
        <f>'資產機關'!H31</f>
        <v>168452154</v>
      </c>
      <c r="F86" s="95"/>
      <c r="G86" s="95"/>
      <c r="H86" s="93">
        <f aca="true" t="shared" si="5" ref="H86:H93">E86</f>
        <v>168452154</v>
      </c>
      <c r="I86" s="122"/>
    </row>
    <row r="87" spans="1:9" ht="15.75" customHeight="1">
      <c r="A87" s="672"/>
      <c r="B87" s="93">
        <f>B88+B91+B93</f>
        <v>33680366</v>
      </c>
      <c r="C87" s="117" t="s">
        <v>723</v>
      </c>
      <c r="D87" s="93">
        <f>D88+D91+D93</f>
        <v>25292000</v>
      </c>
      <c r="E87" s="93">
        <f>'資產機關'!H32</f>
        <v>40059265</v>
      </c>
      <c r="F87" s="95"/>
      <c r="G87" s="95"/>
      <c r="H87" s="93">
        <f t="shared" si="5"/>
        <v>40059265</v>
      </c>
      <c r="I87" s="122"/>
    </row>
    <row r="88" spans="1:9" ht="15.75" customHeight="1">
      <c r="A88" s="672"/>
      <c r="B88" s="93">
        <f>B89+B90</f>
        <v>13715455</v>
      </c>
      <c r="C88" s="117" t="s">
        <v>724</v>
      </c>
      <c r="D88" s="93">
        <f>D89+D90</f>
        <v>13425000</v>
      </c>
      <c r="E88" s="93">
        <f>'資產機關'!H33</f>
        <v>17051052</v>
      </c>
      <c r="F88" s="95"/>
      <c r="G88" s="95"/>
      <c r="H88" s="93">
        <f t="shared" si="5"/>
        <v>17051052</v>
      </c>
      <c r="I88" s="122"/>
    </row>
    <row r="89" spans="1:9" ht="15.75" customHeight="1">
      <c r="A89" s="672"/>
      <c r="B89" s="144">
        <v>13623019</v>
      </c>
      <c r="C89" s="118" t="s">
        <v>725</v>
      </c>
      <c r="D89" s="93">
        <v>13315000</v>
      </c>
      <c r="E89" s="93">
        <f>'資產機關'!H34</f>
        <v>16966664</v>
      </c>
      <c r="F89" s="95"/>
      <c r="G89" s="95"/>
      <c r="H89" s="93">
        <f t="shared" si="5"/>
        <v>16966664</v>
      </c>
      <c r="I89" s="122"/>
    </row>
    <row r="90" spans="1:9" ht="15.75" customHeight="1">
      <c r="A90" s="672"/>
      <c r="B90" s="144">
        <v>92436</v>
      </c>
      <c r="C90" s="118" t="s">
        <v>726</v>
      </c>
      <c r="D90" s="93">
        <v>110000</v>
      </c>
      <c r="E90" s="93">
        <f>'資產機關'!H35</f>
        <v>84388</v>
      </c>
      <c r="F90" s="95"/>
      <c r="G90" s="95"/>
      <c r="H90" s="93">
        <f t="shared" si="5"/>
        <v>84388</v>
      </c>
      <c r="I90" s="122"/>
    </row>
    <row r="91" spans="1:9" ht="15.75" customHeight="1">
      <c r="A91" s="672"/>
      <c r="B91" s="93">
        <f>B92</f>
        <v>19018926</v>
      </c>
      <c r="C91" s="117" t="s">
        <v>727</v>
      </c>
      <c r="D91" s="93">
        <f>D92</f>
        <v>11500000</v>
      </c>
      <c r="E91" s="93">
        <f>'資產機關'!H37</f>
        <v>22133750</v>
      </c>
      <c r="F91" s="95"/>
      <c r="G91" s="95"/>
      <c r="H91" s="93">
        <f t="shared" si="5"/>
        <v>22133750</v>
      </c>
      <c r="I91" s="122"/>
    </row>
    <row r="92" spans="1:9" ht="15.75" customHeight="1">
      <c r="A92" s="672"/>
      <c r="B92" s="144">
        <v>19018926</v>
      </c>
      <c r="C92" s="118" t="s">
        <v>728</v>
      </c>
      <c r="D92" s="93">
        <v>11500000</v>
      </c>
      <c r="E92" s="93">
        <f>'資產機關'!H38</f>
        <v>22133750</v>
      </c>
      <c r="F92" s="95"/>
      <c r="G92" s="95"/>
      <c r="H92" s="93">
        <f t="shared" si="5"/>
        <v>22133750</v>
      </c>
      <c r="I92" s="122"/>
    </row>
    <row r="93" spans="1:9" ht="15.75" customHeight="1">
      <c r="A93" s="672"/>
      <c r="B93" s="93">
        <f>B94+B95</f>
        <v>945985</v>
      </c>
      <c r="C93" s="117" t="s">
        <v>729</v>
      </c>
      <c r="D93" s="93">
        <f>SUM(D94:D95)</f>
        <v>367000</v>
      </c>
      <c r="E93" s="93">
        <f>'資產機關'!H39</f>
        <v>874463</v>
      </c>
      <c r="F93" s="95"/>
      <c r="G93" s="95"/>
      <c r="H93" s="93">
        <f t="shared" si="5"/>
        <v>874463</v>
      </c>
      <c r="I93" s="122"/>
    </row>
    <row r="94" spans="1:9" ht="15.75" customHeight="1">
      <c r="A94" s="672"/>
      <c r="B94" s="144">
        <v>870020</v>
      </c>
      <c r="C94" s="118" t="s">
        <v>730</v>
      </c>
      <c r="D94" s="93">
        <v>367000</v>
      </c>
      <c r="E94" s="93">
        <f>'資產機關'!H41</f>
        <v>843260</v>
      </c>
      <c r="F94" s="95"/>
      <c r="G94" s="95"/>
      <c r="H94" s="93">
        <f>E94</f>
        <v>843260</v>
      </c>
      <c r="I94" s="122"/>
    </row>
    <row r="95" spans="1:9" ht="15.75" customHeight="1">
      <c r="A95" s="672"/>
      <c r="B95" s="144">
        <v>75965</v>
      </c>
      <c r="C95" s="118" t="s">
        <v>731</v>
      </c>
      <c r="D95" s="108">
        <v>0</v>
      </c>
      <c r="E95" s="93">
        <f>'資產機關'!H42</f>
        <v>31203</v>
      </c>
      <c r="F95" s="95"/>
      <c r="G95" s="95"/>
      <c r="H95" s="93">
        <f>E95</f>
        <v>31203</v>
      </c>
      <c r="I95" s="122"/>
    </row>
    <row r="96" spans="1:9" ht="15.75" customHeight="1">
      <c r="A96" s="672"/>
      <c r="B96" s="93">
        <f>B97+B99+B101+B104</f>
        <v>132834655</v>
      </c>
      <c r="C96" s="94" t="s">
        <v>250</v>
      </c>
      <c r="D96" s="93">
        <f>D97+D99+D101+D104</f>
        <v>107974000</v>
      </c>
      <c r="E96" s="93">
        <f>'資產機關'!H43</f>
        <v>128392889</v>
      </c>
      <c r="F96" s="95"/>
      <c r="G96" s="95"/>
      <c r="H96" s="93">
        <f aca="true" t="shared" si="6" ref="H96:H106">E96</f>
        <v>128392889</v>
      </c>
      <c r="I96" s="122"/>
    </row>
    <row r="97" spans="1:9" ht="15.75" customHeight="1">
      <c r="A97" s="672"/>
      <c r="B97" s="93">
        <f>B98</f>
        <v>136125837</v>
      </c>
      <c r="C97" s="117" t="s">
        <v>732</v>
      </c>
      <c r="D97" s="93">
        <f>D98</f>
        <v>136126000</v>
      </c>
      <c r="E97" s="93">
        <f>'資產機關'!H44</f>
        <v>136125837</v>
      </c>
      <c r="F97" s="95"/>
      <c r="G97" s="95"/>
      <c r="H97" s="93">
        <f t="shared" si="6"/>
        <v>136125837</v>
      </c>
      <c r="I97" s="122"/>
    </row>
    <row r="98" spans="1:9" ht="15.75" customHeight="1">
      <c r="A98" s="672"/>
      <c r="B98" s="93">
        <v>136125837</v>
      </c>
      <c r="C98" s="118" t="s">
        <v>733</v>
      </c>
      <c r="D98" s="93">
        <v>136126000</v>
      </c>
      <c r="E98" s="93">
        <f>'資產機關'!H45</f>
        <v>136125837</v>
      </c>
      <c r="F98" s="95"/>
      <c r="G98" s="95"/>
      <c r="H98" s="93">
        <f t="shared" si="6"/>
        <v>136125837</v>
      </c>
      <c r="I98" s="122"/>
    </row>
    <row r="99" spans="1:9" ht="15.75" customHeight="1">
      <c r="A99" s="672"/>
      <c r="B99" s="93">
        <f>B100</f>
        <v>20261188</v>
      </c>
      <c r="C99" s="117" t="s">
        <v>734</v>
      </c>
      <c r="D99" s="93">
        <f>D100</f>
        <v>20261000</v>
      </c>
      <c r="E99" s="93">
        <f>'資產機關'!H46</f>
        <v>20261188</v>
      </c>
      <c r="F99" s="95"/>
      <c r="G99" s="95"/>
      <c r="H99" s="93">
        <f t="shared" si="6"/>
        <v>20261188</v>
      </c>
      <c r="I99" s="122"/>
    </row>
    <row r="100" spans="1:9" ht="15.75" customHeight="1">
      <c r="A100" s="672"/>
      <c r="B100" s="93">
        <v>20261188</v>
      </c>
      <c r="C100" s="118" t="s">
        <v>735</v>
      </c>
      <c r="D100" s="93">
        <v>20261000</v>
      </c>
      <c r="E100" s="93">
        <f>'資產機關'!H47</f>
        <v>20261188</v>
      </c>
      <c r="F100" s="95"/>
      <c r="G100" s="95"/>
      <c r="H100" s="93">
        <f t="shared" si="6"/>
        <v>20261188</v>
      </c>
      <c r="I100" s="122"/>
    </row>
    <row r="101" spans="1:9" ht="15.75" customHeight="1">
      <c r="A101" s="672"/>
      <c r="B101" s="93">
        <f>B102+B103</f>
        <v>-23624390</v>
      </c>
      <c r="C101" s="117" t="s">
        <v>736</v>
      </c>
      <c r="D101" s="93">
        <f>D102+D103</f>
        <v>-48485000</v>
      </c>
      <c r="E101" s="93">
        <f>E102+E103</f>
        <v>-28066156</v>
      </c>
      <c r="F101" s="95"/>
      <c r="G101" s="95"/>
      <c r="H101" s="93">
        <f t="shared" si="6"/>
        <v>-28066156</v>
      </c>
      <c r="I101" s="122"/>
    </row>
    <row r="102" spans="1:9" ht="15.75" customHeight="1">
      <c r="A102" s="672"/>
      <c r="B102" s="107">
        <v>0</v>
      </c>
      <c r="C102" s="118" t="s">
        <v>737</v>
      </c>
      <c r="D102" s="93">
        <v>-13563000</v>
      </c>
      <c r="E102" s="107">
        <f>'資產機關'!H50</f>
        <v>0</v>
      </c>
      <c r="F102" s="112"/>
      <c r="G102" s="112"/>
      <c r="H102" s="107">
        <f t="shared" si="6"/>
        <v>0</v>
      </c>
      <c r="I102" s="122"/>
    </row>
    <row r="103" spans="1:9" ht="15.75" customHeight="1">
      <c r="A103" s="672"/>
      <c r="B103" s="147">
        <v>-23624390</v>
      </c>
      <c r="C103" s="118" t="s">
        <v>738</v>
      </c>
      <c r="D103" s="93">
        <v>-34922000</v>
      </c>
      <c r="E103" s="93">
        <f>'資產機關'!H51</f>
        <v>-28066156</v>
      </c>
      <c r="F103" s="95"/>
      <c r="G103" s="95"/>
      <c r="H103" s="93">
        <f t="shared" si="6"/>
        <v>-28066156</v>
      </c>
      <c r="I103" s="122"/>
    </row>
    <row r="104" spans="1:9" ht="15.75" customHeight="1">
      <c r="A104" s="672"/>
      <c r="B104" s="93">
        <f>SUM(B105)</f>
        <v>72020</v>
      </c>
      <c r="C104" s="121" t="s">
        <v>310</v>
      </c>
      <c r="D104" s="93">
        <f>SUM(D105)</f>
        <v>72000</v>
      </c>
      <c r="E104" s="93">
        <f>E105</f>
        <v>72020</v>
      </c>
      <c r="F104" s="95"/>
      <c r="G104" s="95"/>
      <c r="H104" s="93">
        <f t="shared" si="6"/>
        <v>72020</v>
      </c>
      <c r="I104" s="122"/>
    </row>
    <row r="105" spans="1:9" ht="15.75" customHeight="1">
      <c r="A105" s="672"/>
      <c r="B105" s="93">
        <v>72020</v>
      </c>
      <c r="C105" s="121" t="s">
        <v>311</v>
      </c>
      <c r="D105" s="93">
        <v>72000</v>
      </c>
      <c r="E105" s="93">
        <v>72020</v>
      </c>
      <c r="F105" s="95"/>
      <c r="G105" s="95"/>
      <c r="H105" s="93">
        <f t="shared" si="6"/>
        <v>72020</v>
      </c>
      <c r="I105" s="122"/>
    </row>
    <row r="106" spans="1:8" ht="15.75" customHeight="1">
      <c r="A106" s="673"/>
      <c r="B106" s="131">
        <f>B96+B87</f>
        <v>166515021</v>
      </c>
      <c r="C106" s="132" t="s">
        <v>251</v>
      </c>
      <c r="D106" s="131">
        <f>D87+D96</f>
        <v>133266000</v>
      </c>
      <c r="E106" s="131">
        <f>E96+E87</f>
        <v>168452154</v>
      </c>
      <c r="F106" s="131"/>
      <c r="G106" s="131"/>
      <c r="H106" s="99">
        <f t="shared" si="6"/>
        <v>168452154</v>
      </c>
    </row>
    <row r="107" spans="2:8" ht="16.5">
      <c r="B107" s="168"/>
      <c r="C107" s="168"/>
      <c r="D107" s="168"/>
      <c r="E107" s="168"/>
      <c r="F107" s="168"/>
      <c r="G107" s="168"/>
      <c r="H107" s="168"/>
    </row>
    <row r="108" spans="2:8" ht="16.5">
      <c r="B108" s="168"/>
      <c r="C108" s="168"/>
      <c r="D108" s="168"/>
      <c r="E108" s="168"/>
      <c r="F108" s="168"/>
      <c r="G108" s="168"/>
      <c r="H108" s="168"/>
    </row>
    <row r="109" spans="2:8" ht="16.5">
      <c r="B109" s="168"/>
      <c r="C109" s="168"/>
      <c r="D109" s="168"/>
      <c r="E109" s="168"/>
      <c r="F109" s="168"/>
      <c r="G109" s="168"/>
      <c r="H109" s="168"/>
    </row>
    <row r="110" spans="2:8" ht="16.5">
      <c r="B110" s="168"/>
      <c r="C110" s="168"/>
      <c r="D110" s="168"/>
      <c r="E110" s="168"/>
      <c r="F110" s="168"/>
      <c r="G110" s="168"/>
      <c r="H110" s="168"/>
    </row>
    <row r="111" spans="2:8" ht="16.5">
      <c r="B111" s="168"/>
      <c r="C111" s="168"/>
      <c r="D111" s="168"/>
      <c r="E111" s="168"/>
      <c r="F111" s="168"/>
      <c r="G111" s="168"/>
      <c r="H111" s="168"/>
    </row>
    <row r="112" spans="2:8" ht="16.5">
      <c r="B112" s="168"/>
      <c r="C112" s="168"/>
      <c r="D112" s="168"/>
      <c r="E112" s="168"/>
      <c r="F112" s="168"/>
      <c r="G112" s="168"/>
      <c r="H112" s="168"/>
    </row>
    <row r="113" spans="2:8" ht="16.5">
      <c r="B113" s="168"/>
      <c r="C113" s="168"/>
      <c r="D113" s="168"/>
      <c r="E113" s="168"/>
      <c r="F113" s="168"/>
      <c r="G113" s="168"/>
      <c r="H113" s="168"/>
    </row>
    <row r="114" spans="2:8" ht="16.5">
      <c r="B114" s="168"/>
      <c r="C114" s="168"/>
      <c r="D114" s="168"/>
      <c r="E114" s="168"/>
      <c r="F114" s="168"/>
      <c r="G114" s="168"/>
      <c r="H114" s="168"/>
    </row>
    <row r="115" spans="2:8" ht="16.5">
      <c r="B115" s="168"/>
      <c r="C115" s="168"/>
      <c r="D115" s="168"/>
      <c r="E115" s="168"/>
      <c r="F115" s="168"/>
      <c r="G115" s="168"/>
      <c r="H115" s="168"/>
    </row>
    <row r="116" spans="2:8" ht="16.5">
      <c r="B116" s="168"/>
      <c r="C116" s="168"/>
      <c r="D116" s="168"/>
      <c r="E116" s="168"/>
      <c r="F116" s="168"/>
      <c r="G116" s="168"/>
      <c r="H116" s="168"/>
    </row>
    <row r="117" spans="2:8" ht="16.5">
      <c r="B117" s="168"/>
      <c r="C117" s="168"/>
      <c r="D117" s="168"/>
      <c r="E117" s="168"/>
      <c r="F117" s="168"/>
      <c r="G117" s="168"/>
      <c r="H117" s="168"/>
    </row>
    <row r="118" spans="2:8" ht="16.5">
      <c r="B118" s="168"/>
      <c r="C118" s="168"/>
      <c r="D118" s="168"/>
      <c r="E118" s="168"/>
      <c r="F118" s="168"/>
      <c r="G118" s="168"/>
      <c r="H118" s="168"/>
    </row>
    <row r="119" spans="2:8" ht="16.5">
      <c r="B119" s="168"/>
      <c r="C119" s="168"/>
      <c r="D119" s="168"/>
      <c r="E119" s="168"/>
      <c r="F119" s="168"/>
      <c r="G119" s="168"/>
      <c r="H119" s="168"/>
    </row>
    <row r="120" spans="2:8" ht="16.5">
      <c r="B120" s="168"/>
      <c r="C120" s="168"/>
      <c r="D120" s="168"/>
      <c r="E120" s="168"/>
      <c r="F120" s="168"/>
      <c r="G120" s="168"/>
      <c r="H120" s="168"/>
    </row>
    <row r="121" spans="2:8" ht="16.5">
      <c r="B121" s="168"/>
      <c r="C121" s="168"/>
      <c r="D121" s="168"/>
      <c r="E121" s="168"/>
      <c r="F121" s="168"/>
      <c r="G121" s="168"/>
      <c r="H121" s="168"/>
    </row>
    <row r="122" spans="2:8" ht="16.5">
      <c r="B122" s="168"/>
      <c r="C122" s="168"/>
      <c r="D122" s="168"/>
      <c r="E122" s="168"/>
      <c r="F122" s="168"/>
      <c r="G122" s="168"/>
      <c r="H122" s="168"/>
    </row>
    <row r="123" spans="2:8" ht="16.5">
      <c r="B123" s="168"/>
      <c r="C123" s="168"/>
      <c r="D123" s="168"/>
      <c r="E123" s="168"/>
      <c r="F123" s="168"/>
      <c r="G123" s="168"/>
      <c r="H123" s="168"/>
    </row>
    <row r="124" spans="2:8" ht="16.5">
      <c r="B124" s="168"/>
      <c r="C124" s="168"/>
      <c r="D124" s="168"/>
      <c r="E124" s="168"/>
      <c r="F124" s="168"/>
      <c r="G124" s="168"/>
      <c r="H124" s="168"/>
    </row>
    <row r="125" spans="2:8" ht="16.5">
      <c r="B125" s="168"/>
      <c r="C125" s="168"/>
      <c r="D125" s="168"/>
      <c r="E125" s="168"/>
      <c r="F125" s="168"/>
      <c r="G125" s="168"/>
      <c r="H125" s="168"/>
    </row>
    <row r="126" spans="2:8" ht="16.5">
      <c r="B126" s="168"/>
      <c r="C126" s="168"/>
      <c r="D126" s="168"/>
      <c r="E126" s="168"/>
      <c r="F126" s="168"/>
      <c r="G126" s="168"/>
      <c r="H126" s="168"/>
    </row>
    <row r="127" spans="2:8" ht="16.5">
      <c r="B127" s="168"/>
      <c r="C127" s="168"/>
      <c r="D127" s="168"/>
      <c r="E127" s="168"/>
      <c r="F127" s="168"/>
      <c r="G127" s="168"/>
      <c r="H127" s="168"/>
    </row>
    <row r="128" spans="2:8" ht="16.5">
      <c r="B128" s="168"/>
      <c r="C128" s="168"/>
      <c r="D128" s="168"/>
      <c r="E128" s="168"/>
      <c r="F128" s="168"/>
      <c r="G128" s="168"/>
      <c r="H128" s="168"/>
    </row>
    <row r="129" spans="2:8" ht="16.5">
      <c r="B129" s="168"/>
      <c r="C129" s="168"/>
      <c r="D129" s="168"/>
      <c r="E129" s="168"/>
      <c r="F129" s="168"/>
      <c r="G129" s="168"/>
      <c r="H129" s="168"/>
    </row>
    <row r="130" spans="2:8" ht="16.5">
      <c r="B130" s="168"/>
      <c r="C130" s="168"/>
      <c r="D130" s="168"/>
      <c r="E130" s="168"/>
      <c r="F130" s="168"/>
      <c r="G130" s="168"/>
      <c r="H130" s="168"/>
    </row>
    <row r="131" spans="2:8" ht="16.5">
      <c r="B131" s="168"/>
      <c r="C131" s="168"/>
      <c r="D131" s="168"/>
      <c r="E131" s="168"/>
      <c r="F131" s="168"/>
      <c r="G131" s="168"/>
      <c r="H131" s="168"/>
    </row>
    <row r="132" spans="2:8" ht="16.5">
      <c r="B132" s="168"/>
      <c r="C132" s="168"/>
      <c r="D132" s="168"/>
      <c r="E132" s="168"/>
      <c r="F132" s="168"/>
      <c r="G132" s="168"/>
      <c r="H132" s="168"/>
    </row>
    <row r="133" spans="2:8" ht="16.5">
      <c r="B133" s="168"/>
      <c r="C133" s="168"/>
      <c r="D133" s="168"/>
      <c r="E133" s="168"/>
      <c r="F133" s="168"/>
      <c r="G133" s="168"/>
      <c r="H133" s="168"/>
    </row>
    <row r="134" spans="2:8" ht="16.5">
      <c r="B134" s="168"/>
      <c r="C134" s="168"/>
      <c r="D134" s="168"/>
      <c r="E134" s="168"/>
      <c r="F134" s="168"/>
      <c r="G134" s="168"/>
      <c r="H134" s="168"/>
    </row>
    <row r="135" spans="2:8" ht="16.5">
      <c r="B135" s="168"/>
      <c r="C135" s="168"/>
      <c r="D135" s="168"/>
      <c r="E135" s="168"/>
      <c r="F135" s="168"/>
      <c r="G135" s="168"/>
      <c r="H135" s="168"/>
    </row>
    <row r="136" spans="2:8" ht="16.5">
      <c r="B136" s="168"/>
      <c r="C136" s="168"/>
      <c r="D136" s="168"/>
      <c r="E136" s="168"/>
      <c r="F136" s="168"/>
      <c r="G136" s="168"/>
      <c r="H136" s="168"/>
    </row>
    <row r="137" spans="2:8" ht="16.5">
      <c r="B137" s="168"/>
      <c r="C137" s="168"/>
      <c r="D137" s="168"/>
      <c r="E137" s="168"/>
      <c r="F137" s="168"/>
      <c r="G137" s="168"/>
      <c r="H137" s="168"/>
    </row>
    <row r="138" spans="2:8" ht="16.5">
      <c r="B138" s="168"/>
      <c r="C138" s="168"/>
      <c r="D138" s="168"/>
      <c r="E138" s="168"/>
      <c r="F138" s="168"/>
      <c r="G138" s="168"/>
      <c r="H138" s="168"/>
    </row>
    <row r="139" spans="2:8" ht="16.5">
      <c r="B139" s="168"/>
      <c r="C139" s="168"/>
      <c r="D139" s="168"/>
      <c r="E139" s="168"/>
      <c r="F139" s="168"/>
      <c r="G139" s="168"/>
      <c r="H139" s="168"/>
    </row>
    <row r="140" spans="2:8" ht="16.5">
      <c r="B140" s="168"/>
      <c r="C140" s="168"/>
      <c r="D140" s="168"/>
      <c r="E140" s="168"/>
      <c r="F140" s="168"/>
      <c r="G140" s="168"/>
      <c r="H140" s="168"/>
    </row>
    <row r="141" spans="2:8" ht="16.5">
      <c r="B141" s="168"/>
      <c r="C141" s="168"/>
      <c r="D141" s="168"/>
      <c r="E141" s="168"/>
      <c r="F141" s="168"/>
      <c r="G141" s="168"/>
      <c r="H141" s="168"/>
    </row>
    <row r="142" spans="2:8" ht="16.5">
      <c r="B142" s="168"/>
      <c r="C142" s="168"/>
      <c r="D142" s="168"/>
      <c r="E142" s="168"/>
      <c r="F142" s="168"/>
      <c r="G142" s="168"/>
      <c r="H142" s="168"/>
    </row>
    <row r="143" spans="2:8" ht="16.5">
      <c r="B143" s="168"/>
      <c r="C143" s="168"/>
      <c r="D143" s="168"/>
      <c r="E143" s="168"/>
      <c r="F143" s="168"/>
      <c r="G143" s="168"/>
      <c r="H143" s="168"/>
    </row>
    <row r="144" spans="2:8" ht="16.5">
      <c r="B144" s="168"/>
      <c r="C144" s="168"/>
      <c r="D144" s="168"/>
      <c r="E144" s="168"/>
      <c r="F144" s="168"/>
      <c r="G144" s="168"/>
      <c r="H144" s="168"/>
    </row>
    <row r="145" spans="2:8" ht="16.5">
      <c r="B145" s="168"/>
      <c r="C145" s="168"/>
      <c r="D145" s="168"/>
      <c r="E145" s="168"/>
      <c r="F145" s="168"/>
      <c r="G145" s="168"/>
      <c r="H145" s="168"/>
    </row>
    <row r="146" spans="2:8" ht="16.5">
      <c r="B146" s="168"/>
      <c r="C146" s="168"/>
      <c r="D146" s="168"/>
      <c r="E146" s="168"/>
      <c r="F146" s="168"/>
      <c r="G146" s="168"/>
      <c r="H146" s="168"/>
    </row>
    <row r="147" spans="2:8" ht="16.5">
      <c r="B147" s="168"/>
      <c r="C147" s="168"/>
      <c r="D147" s="168"/>
      <c r="E147" s="168"/>
      <c r="F147" s="168"/>
      <c r="G147" s="168"/>
      <c r="H147" s="168"/>
    </row>
    <row r="148" spans="2:8" ht="16.5">
      <c r="B148" s="168"/>
      <c r="C148" s="168"/>
      <c r="D148" s="168"/>
      <c r="E148" s="168"/>
      <c r="F148" s="168"/>
      <c r="G148" s="168"/>
      <c r="H148" s="168"/>
    </row>
    <row r="149" spans="2:8" ht="16.5">
      <c r="B149" s="168"/>
      <c r="C149" s="168"/>
      <c r="D149" s="168"/>
      <c r="E149" s="168"/>
      <c r="F149" s="168"/>
      <c r="G149" s="168"/>
      <c r="H149" s="168"/>
    </row>
    <row r="150" spans="2:8" ht="16.5">
      <c r="B150" s="168"/>
      <c r="C150" s="168"/>
      <c r="D150" s="168"/>
      <c r="E150" s="168"/>
      <c r="F150" s="168"/>
      <c r="G150" s="168"/>
      <c r="H150" s="168"/>
    </row>
    <row r="151" spans="2:8" ht="16.5">
      <c r="B151" s="168"/>
      <c r="C151" s="168"/>
      <c r="D151" s="168"/>
      <c r="E151" s="168"/>
      <c r="F151" s="168"/>
      <c r="G151" s="168"/>
      <c r="H151" s="168"/>
    </row>
    <row r="152" spans="2:8" ht="16.5">
      <c r="B152" s="168"/>
      <c r="C152" s="168"/>
      <c r="D152" s="168"/>
      <c r="E152" s="168"/>
      <c r="F152" s="168"/>
      <c r="G152" s="168"/>
      <c r="H152" s="168"/>
    </row>
    <row r="153" spans="2:8" ht="16.5">
      <c r="B153" s="168"/>
      <c r="C153" s="168"/>
      <c r="D153" s="168"/>
      <c r="E153" s="168"/>
      <c r="F153" s="168"/>
      <c r="G153" s="168"/>
      <c r="H153" s="168"/>
    </row>
    <row r="154" spans="2:8" ht="16.5">
      <c r="B154" s="168"/>
      <c r="C154" s="168"/>
      <c r="D154" s="168"/>
      <c r="E154" s="168"/>
      <c r="F154" s="168"/>
      <c r="G154" s="168"/>
      <c r="H154" s="168"/>
    </row>
    <row r="155" spans="2:8" ht="16.5">
      <c r="B155" s="168"/>
      <c r="C155" s="168"/>
      <c r="D155" s="168"/>
      <c r="E155" s="168"/>
      <c r="F155" s="168"/>
      <c r="G155" s="168"/>
      <c r="H155" s="168"/>
    </row>
    <row r="156" spans="2:8" ht="16.5">
      <c r="B156" s="168"/>
      <c r="C156" s="168"/>
      <c r="D156" s="168"/>
      <c r="E156" s="168"/>
      <c r="F156" s="168"/>
      <c r="G156" s="168"/>
      <c r="H156" s="168"/>
    </row>
    <row r="157" spans="2:8" ht="16.5">
      <c r="B157" s="168"/>
      <c r="C157" s="168"/>
      <c r="D157" s="168"/>
      <c r="E157" s="168"/>
      <c r="F157" s="168"/>
      <c r="G157" s="168"/>
      <c r="H157" s="168"/>
    </row>
    <row r="158" spans="2:8" ht="16.5">
      <c r="B158" s="168"/>
      <c r="C158" s="168"/>
      <c r="D158" s="168"/>
      <c r="E158" s="168"/>
      <c r="F158" s="168"/>
      <c r="G158" s="168"/>
      <c r="H158" s="168"/>
    </row>
    <row r="159" spans="2:8" ht="16.5">
      <c r="B159" s="168"/>
      <c r="C159" s="168"/>
      <c r="D159" s="168"/>
      <c r="E159" s="168"/>
      <c r="F159" s="168"/>
      <c r="G159" s="168"/>
      <c r="H159" s="168"/>
    </row>
    <row r="160" spans="2:8" ht="16.5">
      <c r="B160" s="168"/>
      <c r="C160" s="168"/>
      <c r="D160" s="168"/>
      <c r="E160" s="168"/>
      <c r="F160" s="168"/>
      <c r="G160" s="168"/>
      <c r="H160" s="168"/>
    </row>
    <row r="161" spans="2:8" ht="16.5">
      <c r="B161" s="168"/>
      <c r="C161" s="168"/>
      <c r="D161" s="168"/>
      <c r="E161" s="168"/>
      <c r="F161" s="168"/>
      <c r="G161" s="168"/>
      <c r="H161" s="168"/>
    </row>
    <row r="162" spans="2:8" ht="16.5">
      <c r="B162" s="168"/>
      <c r="C162" s="168"/>
      <c r="D162" s="168"/>
      <c r="E162" s="168"/>
      <c r="F162" s="168"/>
      <c r="G162" s="168"/>
      <c r="H162" s="168"/>
    </row>
    <row r="163" spans="2:8" ht="16.5">
      <c r="B163" s="168"/>
      <c r="C163" s="168"/>
      <c r="D163" s="168"/>
      <c r="E163" s="168"/>
      <c r="F163" s="168"/>
      <c r="G163" s="168"/>
      <c r="H163" s="168"/>
    </row>
    <row r="164" spans="2:8" ht="16.5">
      <c r="B164" s="168"/>
      <c r="C164" s="168"/>
      <c r="D164" s="168"/>
      <c r="E164" s="168"/>
      <c r="F164" s="168"/>
      <c r="G164" s="168"/>
      <c r="H164" s="168"/>
    </row>
    <row r="165" spans="2:8" ht="16.5">
      <c r="B165" s="168"/>
      <c r="C165" s="168"/>
      <c r="D165" s="168"/>
      <c r="E165" s="168"/>
      <c r="F165" s="168"/>
      <c r="G165" s="168"/>
      <c r="H165" s="168"/>
    </row>
    <row r="166" spans="2:8" ht="16.5">
      <c r="B166" s="168"/>
      <c r="C166" s="168"/>
      <c r="D166" s="168"/>
      <c r="E166" s="168"/>
      <c r="F166" s="168"/>
      <c r="G166" s="168"/>
      <c r="H166" s="168"/>
    </row>
    <row r="167" spans="2:8" ht="16.5">
      <c r="B167" s="168"/>
      <c r="C167" s="168"/>
      <c r="D167" s="168"/>
      <c r="E167" s="168"/>
      <c r="F167" s="168"/>
      <c r="G167" s="168"/>
      <c r="H167" s="168"/>
    </row>
    <row r="168" spans="2:8" ht="16.5">
      <c r="B168" s="168"/>
      <c r="C168" s="168"/>
      <c r="D168" s="168"/>
      <c r="E168" s="168"/>
      <c r="F168" s="168"/>
      <c r="G168" s="168"/>
      <c r="H168" s="168"/>
    </row>
    <row r="169" spans="2:8" ht="16.5">
      <c r="B169" s="168"/>
      <c r="C169" s="168"/>
      <c r="D169" s="168"/>
      <c r="E169" s="168"/>
      <c r="F169" s="168"/>
      <c r="G169" s="168"/>
      <c r="H169" s="168"/>
    </row>
    <row r="170" spans="2:8" ht="16.5">
      <c r="B170" s="168"/>
      <c r="C170" s="168"/>
      <c r="D170" s="168"/>
      <c r="E170" s="168"/>
      <c r="F170" s="168"/>
      <c r="G170" s="168"/>
      <c r="H170" s="168"/>
    </row>
    <row r="171" spans="2:8" ht="16.5">
      <c r="B171" s="168"/>
      <c r="C171" s="168"/>
      <c r="D171" s="168"/>
      <c r="E171" s="168"/>
      <c r="F171" s="168"/>
      <c r="G171" s="168"/>
      <c r="H171" s="168"/>
    </row>
    <row r="172" spans="2:8" ht="16.5">
      <c r="B172" s="168"/>
      <c r="C172" s="168"/>
      <c r="D172" s="168"/>
      <c r="E172" s="168"/>
      <c r="F172" s="168"/>
      <c r="G172" s="168"/>
      <c r="H172" s="168"/>
    </row>
    <row r="173" spans="2:8" ht="16.5">
      <c r="B173" s="168"/>
      <c r="C173" s="168"/>
      <c r="D173" s="168"/>
      <c r="E173" s="168"/>
      <c r="F173" s="168"/>
      <c r="G173" s="168"/>
      <c r="H173" s="168"/>
    </row>
    <row r="174" spans="2:8" ht="16.5">
      <c r="B174" s="168"/>
      <c r="C174" s="168"/>
      <c r="D174" s="168"/>
      <c r="E174" s="168"/>
      <c r="F174" s="168"/>
      <c r="G174" s="168"/>
      <c r="H174" s="168"/>
    </row>
    <row r="175" spans="2:8" ht="16.5">
      <c r="B175" s="168"/>
      <c r="C175" s="168"/>
      <c r="D175" s="168"/>
      <c r="E175" s="168"/>
      <c r="F175" s="168"/>
      <c r="G175" s="168"/>
      <c r="H175" s="168"/>
    </row>
    <row r="176" spans="2:8" ht="16.5">
      <c r="B176" s="168"/>
      <c r="C176" s="168"/>
      <c r="D176" s="168"/>
      <c r="E176" s="168"/>
      <c r="F176" s="168"/>
      <c r="G176" s="168"/>
      <c r="H176" s="168"/>
    </row>
    <row r="177" spans="2:8" ht="16.5">
      <c r="B177" s="168"/>
      <c r="C177" s="168"/>
      <c r="D177" s="168"/>
      <c r="E177" s="168"/>
      <c r="F177" s="168"/>
      <c r="G177" s="168"/>
      <c r="H177" s="168"/>
    </row>
    <row r="178" spans="2:8" ht="16.5">
      <c r="B178" s="168"/>
      <c r="C178" s="168"/>
      <c r="D178" s="168"/>
      <c r="E178" s="168"/>
      <c r="F178" s="168"/>
      <c r="G178" s="168"/>
      <c r="H178" s="168"/>
    </row>
    <row r="179" spans="2:8" ht="16.5">
      <c r="B179" s="168"/>
      <c r="C179" s="168"/>
      <c r="D179" s="168"/>
      <c r="E179" s="168"/>
      <c r="F179" s="168"/>
      <c r="G179" s="168"/>
      <c r="H179" s="168"/>
    </row>
    <row r="180" spans="2:8" ht="16.5">
      <c r="B180" s="168"/>
      <c r="C180" s="168"/>
      <c r="D180" s="168"/>
      <c r="E180" s="168"/>
      <c r="F180" s="168"/>
      <c r="G180" s="168"/>
      <c r="H180" s="168"/>
    </row>
    <row r="181" spans="2:8" ht="16.5">
      <c r="B181" s="168"/>
      <c r="C181" s="168"/>
      <c r="D181" s="168"/>
      <c r="E181" s="168"/>
      <c r="F181" s="168"/>
      <c r="G181" s="168"/>
      <c r="H181" s="168"/>
    </row>
    <row r="182" spans="2:8" ht="16.5">
      <c r="B182" s="168"/>
      <c r="C182" s="168"/>
      <c r="D182" s="168"/>
      <c r="E182" s="168"/>
      <c r="F182" s="168"/>
      <c r="G182" s="168"/>
      <c r="H182" s="168"/>
    </row>
    <row r="183" spans="2:8" ht="16.5">
      <c r="B183" s="168"/>
      <c r="C183" s="168"/>
      <c r="D183" s="168"/>
      <c r="E183" s="168"/>
      <c r="F183" s="168"/>
      <c r="G183" s="168"/>
      <c r="H183" s="168"/>
    </row>
    <row r="184" spans="2:8" ht="16.5">
      <c r="B184" s="168"/>
      <c r="C184" s="168"/>
      <c r="D184" s="168"/>
      <c r="E184" s="168"/>
      <c r="F184" s="168"/>
      <c r="G184" s="168"/>
      <c r="H184" s="168"/>
    </row>
    <row r="185" spans="2:8" ht="16.5">
      <c r="B185" s="168"/>
      <c r="C185" s="168"/>
      <c r="D185" s="168"/>
      <c r="E185" s="168"/>
      <c r="F185" s="168"/>
      <c r="G185" s="168"/>
      <c r="H185" s="168"/>
    </row>
    <row r="186" spans="2:8" ht="16.5">
      <c r="B186" s="168"/>
      <c r="C186" s="168"/>
      <c r="D186" s="168"/>
      <c r="E186" s="168"/>
      <c r="F186" s="168"/>
      <c r="G186" s="168"/>
      <c r="H186" s="168"/>
    </row>
    <row r="187" spans="2:8" ht="16.5">
      <c r="B187" s="168"/>
      <c r="C187" s="168"/>
      <c r="D187" s="168"/>
      <c r="E187" s="168"/>
      <c r="F187" s="168"/>
      <c r="G187" s="168"/>
      <c r="H187" s="168"/>
    </row>
    <row r="188" spans="2:8" ht="16.5">
      <c r="B188" s="168"/>
      <c r="C188" s="168"/>
      <c r="D188" s="168"/>
      <c r="E188" s="168"/>
      <c r="F188" s="168"/>
      <c r="G188" s="168"/>
      <c r="H188" s="168"/>
    </row>
    <row r="189" spans="2:8" ht="16.5">
      <c r="B189" s="168"/>
      <c r="C189" s="168"/>
      <c r="D189" s="168"/>
      <c r="E189" s="168"/>
      <c r="F189" s="168"/>
      <c r="G189" s="168"/>
      <c r="H189" s="168"/>
    </row>
    <row r="190" spans="2:8" ht="16.5">
      <c r="B190" s="168"/>
      <c r="C190" s="168"/>
      <c r="D190" s="168"/>
      <c r="E190" s="168"/>
      <c r="F190" s="168"/>
      <c r="G190" s="168"/>
      <c r="H190" s="168"/>
    </row>
    <row r="191" spans="2:8" ht="16.5">
      <c r="B191" s="168"/>
      <c r="C191" s="168"/>
      <c r="D191" s="168"/>
      <c r="E191" s="168"/>
      <c r="F191" s="168"/>
      <c r="G191" s="168"/>
      <c r="H191" s="168"/>
    </row>
    <row r="192" spans="2:8" ht="16.5">
      <c r="B192" s="168"/>
      <c r="C192" s="168"/>
      <c r="D192" s="168"/>
      <c r="E192" s="168"/>
      <c r="F192" s="168"/>
      <c r="G192" s="168"/>
      <c r="H192" s="168"/>
    </row>
    <row r="193" spans="2:8" ht="16.5">
      <c r="B193" s="168"/>
      <c r="C193" s="168"/>
      <c r="D193" s="168"/>
      <c r="E193" s="168"/>
      <c r="F193" s="168"/>
      <c r="G193" s="168"/>
      <c r="H193" s="168"/>
    </row>
    <row r="194" spans="2:8" ht="16.5">
      <c r="B194" s="168"/>
      <c r="C194" s="168"/>
      <c r="D194" s="168"/>
      <c r="E194" s="168"/>
      <c r="F194" s="168"/>
      <c r="G194" s="168"/>
      <c r="H194" s="168"/>
    </row>
    <row r="195" spans="2:8" ht="16.5">
      <c r="B195" s="168"/>
      <c r="C195" s="168"/>
      <c r="D195" s="168"/>
      <c r="E195" s="168"/>
      <c r="F195" s="168"/>
      <c r="G195" s="168"/>
      <c r="H195" s="168"/>
    </row>
    <row r="196" spans="2:8" ht="16.5">
      <c r="B196" s="168"/>
      <c r="C196" s="168"/>
      <c r="D196" s="168"/>
      <c r="E196" s="168"/>
      <c r="F196" s="168"/>
      <c r="G196" s="168"/>
      <c r="H196" s="168"/>
    </row>
    <row r="197" spans="2:8" ht="16.5">
      <c r="B197" s="168"/>
      <c r="C197" s="168"/>
      <c r="D197" s="168"/>
      <c r="E197" s="168"/>
      <c r="F197" s="168"/>
      <c r="G197" s="168"/>
      <c r="H197" s="168"/>
    </row>
    <row r="198" spans="2:8" ht="16.5">
      <c r="B198" s="168"/>
      <c r="C198" s="168"/>
      <c r="D198" s="168"/>
      <c r="E198" s="168"/>
      <c r="F198" s="168"/>
      <c r="G198" s="168"/>
      <c r="H198" s="168"/>
    </row>
    <row r="199" spans="2:8" ht="16.5">
      <c r="B199" s="168"/>
      <c r="C199" s="168"/>
      <c r="D199" s="168"/>
      <c r="E199" s="168"/>
      <c r="F199" s="168"/>
      <c r="G199" s="168"/>
      <c r="H199" s="168"/>
    </row>
    <row r="200" spans="2:8" ht="16.5">
      <c r="B200" s="168"/>
      <c r="C200" s="168"/>
      <c r="D200" s="168"/>
      <c r="E200" s="168"/>
      <c r="F200" s="168"/>
      <c r="G200" s="168"/>
      <c r="H200" s="168"/>
    </row>
    <row r="201" spans="2:8" ht="16.5">
      <c r="B201" s="168"/>
      <c r="C201" s="168"/>
      <c r="D201" s="168"/>
      <c r="E201" s="168"/>
      <c r="F201" s="168"/>
      <c r="G201" s="168"/>
      <c r="H201" s="168"/>
    </row>
    <row r="202" spans="2:8" ht="16.5">
      <c r="B202" s="168"/>
      <c r="C202" s="168"/>
      <c r="D202" s="168"/>
      <c r="E202" s="168"/>
      <c r="F202" s="168"/>
      <c r="G202" s="168"/>
      <c r="H202" s="168"/>
    </row>
    <row r="203" spans="2:8" ht="16.5">
      <c r="B203" s="168"/>
      <c r="C203" s="168"/>
      <c r="D203" s="168"/>
      <c r="E203" s="168"/>
      <c r="F203" s="168"/>
      <c r="G203" s="168"/>
      <c r="H203" s="168"/>
    </row>
    <row r="204" spans="2:8" ht="16.5">
      <c r="B204" s="168"/>
      <c r="C204" s="168"/>
      <c r="D204" s="168"/>
      <c r="E204" s="168"/>
      <c r="F204" s="168"/>
      <c r="G204" s="168"/>
      <c r="H204" s="168"/>
    </row>
    <row r="205" spans="2:8" ht="16.5">
      <c r="B205" s="168"/>
      <c r="C205" s="168"/>
      <c r="D205" s="168"/>
      <c r="E205" s="168"/>
      <c r="F205" s="168"/>
      <c r="G205" s="168"/>
      <c r="H205" s="168"/>
    </row>
    <row r="206" spans="2:8" ht="16.5">
      <c r="B206" s="168"/>
      <c r="C206" s="168"/>
      <c r="D206" s="168"/>
      <c r="E206" s="168"/>
      <c r="F206" s="168"/>
      <c r="G206" s="168"/>
      <c r="H206" s="168"/>
    </row>
    <row r="207" spans="2:8" ht="16.5">
      <c r="B207" s="168"/>
      <c r="C207" s="168"/>
      <c r="D207" s="168"/>
      <c r="E207" s="168"/>
      <c r="F207" s="168"/>
      <c r="G207" s="168"/>
      <c r="H207" s="168"/>
    </row>
    <row r="208" spans="2:8" ht="16.5">
      <c r="B208" s="168"/>
      <c r="C208" s="168"/>
      <c r="D208" s="168"/>
      <c r="E208" s="168"/>
      <c r="F208" s="168"/>
      <c r="G208" s="168"/>
      <c r="H208" s="168"/>
    </row>
    <row r="209" spans="2:8" ht="16.5">
      <c r="B209" s="168"/>
      <c r="C209" s="168"/>
      <c r="D209" s="168"/>
      <c r="E209" s="168"/>
      <c r="F209" s="168"/>
      <c r="G209" s="168"/>
      <c r="H209" s="168"/>
    </row>
    <row r="210" spans="2:8" ht="16.5">
      <c r="B210" s="168"/>
      <c r="C210" s="168"/>
      <c r="D210" s="168"/>
      <c r="E210" s="168"/>
      <c r="F210" s="168"/>
      <c r="G210" s="168"/>
      <c r="H210" s="168"/>
    </row>
    <row r="211" spans="2:8" ht="16.5">
      <c r="B211" s="168"/>
      <c r="C211" s="168"/>
      <c r="D211" s="168"/>
      <c r="E211" s="168"/>
      <c r="F211" s="168"/>
      <c r="G211" s="168"/>
      <c r="H211" s="168"/>
    </row>
    <row r="212" spans="2:8" ht="16.5">
      <c r="B212" s="168"/>
      <c r="C212" s="168"/>
      <c r="D212" s="168"/>
      <c r="E212" s="168"/>
      <c r="F212" s="168"/>
      <c r="G212" s="168"/>
      <c r="H212" s="168"/>
    </row>
    <row r="213" spans="2:8" ht="16.5">
      <c r="B213" s="168"/>
      <c r="C213" s="168"/>
      <c r="D213" s="168"/>
      <c r="E213" s="168"/>
      <c r="F213" s="168"/>
      <c r="G213" s="168"/>
      <c r="H213" s="168"/>
    </row>
    <row r="214" spans="2:8" ht="16.5">
      <c r="B214" s="168"/>
      <c r="C214" s="168"/>
      <c r="D214" s="168"/>
      <c r="E214" s="168"/>
      <c r="F214" s="168"/>
      <c r="G214" s="168"/>
      <c r="H214" s="168"/>
    </row>
    <row r="215" spans="2:8" ht="16.5">
      <c r="B215" s="168"/>
      <c r="C215" s="168"/>
      <c r="D215" s="168"/>
      <c r="E215" s="168"/>
      <c r="F215" s="168"/>
      <c r="G215" s="168"/>
      <c r="H215" s="168"/>
    </row>
    <row r="216" spans="2:8" ht="16.5">
      <c r="B216" s="168"/>
      <c r="C216" s="168"/>
      <c r="D216" s="168"/>
      <c r="E216" s="168"/>
      <c r="F216" s="168"/>
      <c r="G216" s="168"/>
      <c r="H216" s="168"/>
    </row>
    <row r="217" spans="2:8" ht="16.5">
      <c r="B217" s="168"/>
      <c r="C217" s="168"/>
      <c r="D217" s="168"/>
      <c r="E217" s="168"/>
      <c r="F217" s="168"/>
      <c r="G217" s="168"/>
      <c r="H217" s="168"/>
    </row>
    <row r="218" spans="2:8" ht="16.5">
      <c r="B218" s="168"/>
      <c r="C218" s="168"/>
      <c r="D218" s="168"/>
      <c r="E218" s="168"/>
      <c r="F218" s="168"/>
      <c r="G218" s="168"/>
      <c r="H218" s="168"/>
    </row>
    <row r="219" spans="2:8" ht="16.5">
      <c r="B219" s="168"/>
      <c r="C219" s="168"/>
      <c r="D219" s="168"/>
      <c r="E219" s="168"/>
      <c r="F219" s="168"/>
      <c r="G219" s="168"/>
      <c r="H219" s="168"/>
    </row>
    <row r="220" spans="2:8" ht="16.5">
      <c r="B220" s="168"/>
      <c r="C220" s="168"/>
      <c r="D220" s="168"/>
      <c r="E220" s="168"/>
      <c r="F220" s="168"/>
      <c r="G220" s="168"/>
      <c r="H220" s="168"/>
    </row>
    <row r="221" spans="2:8" ht="16.5">
      <c r="B221" s="168"/>
      <c r="C221" s="168"/>
      <c r="D221" s="168"/>
      <c r="E221" s="168"/>
      <c r="F221" s="168"/>
      <c r="G221" s="168"/>
      <c r="H221" s="168"/>
    </row>
    <row r="222" spans="2:8" ht="16.5">
      <c r="B222" s="168"/>
      <c r="C222" s="168"/>
      <c r="D222" s="168"/>
      <c r="E222" s="168"/>
      <c r="F222" s="168"/>
      <c r="G222" s="168"/>
      <c r="H222" s="168"/>
    </row>
    <row r="223" spans="2:8" ht="16.5">
      <c r="B223" s="168"/>
      <c r="C223" s="168"/>
      <c r="D223" s="168"/>
      <c r="E223" s="168"/>
      <c r="F223" s="168"/>
      <c r="G223" s="168"/>
      <c r="H223" s="168"/>
    </row>
    <row r="224" spans="2:8" ht="16.5">
      <c r="B224" s="168"/>
      <c r="C224" s="168"/>
      <c r="D224" s="168"/>
      <c r="E224" s="168"/>
      <c r="F224" s="168"/>
      <c r="G224" s="168"/>
      <c r="H224" s="168"/>
    </row>
    <row r="225" spans="2:8" ht="16.5">
      <c r="B225" s="168"/>
      <c r="C225" s="168"/>
      <c r="D225" s="168"/>
      <c r="E225" s="168"/>
      <c r="F225" s="168"/>
      <c r="G225" s="168"/>
      <c r="H225" s="168"/>
    </row>
    <row r="226" spans="2:8" ht="16.5">
      <c r="B226" s="168"/>
      <c r="C226" s="168"/>
      <c r="D226" s="168"/>
      <c r="E226" s="168"/>
      <c r="F226" s="168"/>
      <c r="G226" s="168"/>
      <c r="H226" s="168"/>
    </row>
    <row r="227" spans="2:8" ht="16.5">
      <c r="B227" s="168"/>
      <c r="C227" s="168"/>
      <c r="D227" s="168"/>
      <c r="E227" s="168"/>
      <c r="F227" s="168"/>
      <c r="G227" s="168"/>
      <c r="H227" s="168"/>
    </row>
    <row r="228" spans="2:8" ht="16.5">
      <c r="B228" s="168"/>
      <c r="C228" s="168"/>
      <c r="D228" s="168"/>
      <c r="E228" s="168"/>
      <c r="F228" s="168"/>
      <c r="G228" s="168"/>
      <c r="H228" s="168"/>
    </row>
    <row r="229" spans="2:8" ht="16.5">
      <c r="B229" s="168"/>
      <c r="C229" s="168"/>
      <c r="D229" s="168"/>
      <c r="E229" s="168"/>
      <c r="F229" s="168"/>
      <c r="G229" s="168"/>
      <c r="H229" s="168"/>
    </row>
    <row r="230" spans="2:8" ht="16.5">
      <c r="B230" s="168"/>
      <c r="C230" s="168"/>
      <c r="D230" s="168"/>
      <c r="E230" s="168"/>
      <c r="F230" s="168"/>
      <c r="G230" s="168"/>
      <c r="H230" s="168"/>
    </row>
    <row r="231" spans="2:8" ht="16.5">
      <c r="B231" s="168"/>
      <c r="C231" s="168"/>
      <c r="D231" s="168"/>
      <c r="E231" s="168"/>
      <c r="F231" s="168"/>
      <c r="G231" s="168"/>
      <c r="H231" s="168"/>
    </row>
    <row r="232" spans="2:8" ht="16.5">
      <c r="B232" s="168"/>
      <c r="C232" s="168"/>
      <c r="D232" s="168"/>
      <c r="E232" s="168"/>
      <c r="F232" s="168"/>
      <c r="G232" s="168"/>
      <c r="H232" s="168"/>
    </row>
    <row r="233" spans="2:8" ht="16.5">
      <c r="B233" s="168"/>
      <c r="C233" s="168"/>
      <c r="D233" s="168"/>
      <c r="E233" s="168"/>
      <c r="F233" s="168"/>
      <c r="G233" s="168"/>
      <c r="H233" s="168"/>
    </row>
    <row r="234" spans="2:8" ht="16.5">
      <c r="B234" s="168"/>
      <c r="C234" s="168"/>
      <c r="D234" s="168"/>
      <c r="E234" s="168"/>
      <c r="F234" s="168"/>
      <c r="G234" s="168"/>
      <c r="H234" s="168"/>
    </row>
    <row r="235" spans="2:8" ht="16.5">
      <c r="B235" s="168"/>
      <c r="C235" s="168"/>
      <c r="D235" s="168"/>
      <c r="E235" s="168"/>
      <c r="F235" s="168"/>
      <c r="G235" s="168"/>
      <c r="H235" s="168"/>
    </row>
    <row r="236" spans="2:8" ht="16.5">
      <c r="B236" s="168"/>
      <c r="C236" s="168"/>
      <c r="D236" s="168"/>
      <c r="E236" s="168"/>
      <c r="F236" s="168"/>
      <c r="G236" s="168"/>
      <c r="H236" s="168"/>
    </row>
    <row r="237" spans="2:8" ht="16.5">
      <c r="B237" s="168"/>
      <c r="C237" s="168"/>
      <c r="D237" s="168"/>
      <c r="E237" s="168"/>
      <c r="F237" s="168"/>
      <c r="G237" s="168"/>
      <c r="H237" s="168"/>
    </row>
    <row r="238" spans="2:8" ht="16.5">
      <c r="B238" s="168"/>
      <c r="C238" s="168"/>
      <c r="D238" s="168"/>
      <c r="E238" s="168"/>
      <c r="F238" s="168"/>
      <c r="G238" s="168"/>
      <c r="H238" s="168"/>
    </row>
    <row r="239" spans="2:8" ht="16.5">
      <c r="B239" s="168"/>
      <c r="C239" s="168"/>
      <c r="D239" s="168"/>
      <c r="E239" s="168"/>
      <c r="F239" s="168"/>
      <c r="G239" s="168"/>
      <c r="H239" s="168"/>
    </row>
    <row r="240" spans="2:8" ht="16.5">
      <c r="B240" s="168"/>
      <c r="C240" s="168"/>
      <c r="D240" s="168"/>
      <c r="E240" s="168"/>
      <c r="F240" s="168"/>
      <c r="G240" s="168"/>
      <c r="H240" s="168"/>
    </row>
    <row r="241" spans="2:8" ht="16.5">
      <c r="B241" s="168"/>
      <c r="C241" s="168"/>
      <c r="D241" s="168"/>
      <c r="E241" s="168"/>
      <c r="F241" s="168"/>
      <c r="G241" s="168"/>
      <c r="H241" s="168"/>
    </row>
    <row r="242" spans="2:8" ht="16.5">
      <c r="B242" s="168"/>
      <c r="C242" s="168"/>
      <c r="D242" s="168"/>
      <c r="E242" s="168"/>
      <c r="F242" s="168"/>
      <c r="G242" s="168"/>
      <c r="H242" s="168"/>
    </row>
    <row r="243" spans="2:8" ht="16.5">
      <c r="B243" s="168"/>
      <c r="C243" s="168"/>
      <c r="D243" s="168"/>
      <c r="E243" s="168"/>
      <c r="F243" s="168"/>
      <c r="G243" s="168"/>
      <c r="H243" s="168"/>
    </row>
    <row r="244" spans="2:8" ht="16.5">
      <c r="B244" s="168"/>
      <c r="C244" s="168"/>
      <c r="D244" s="168"/>
      <c r="E244" s="168"/>
      <c r="F244" s="168"/>
      <c r="G244" s="168"/>
      <c r="H244" s="168"/>
    </row>
    <row r="245" spans="2:8" ht="16.5">
      <c r="B245" s="168"/>
      <c r="C245" s="168"/>
      <c r="D245" s="168"/>
      <c r="E245" s="168"/>
      <c r="F245" s="168"/>
      <c r="G245" s="168"/>
      <c r="H245" s="168"/>
    </row>
    <row r="246" spans="2:8" ht="16.5">
      <c r="B246" s="168"/>
      <c r="C246" s="168"/>
      <c r="D246" s="168"/>
      <c r="E246" s="168"/>
      <c r="F246" s="168"/>
      <c r="G246" s="168"/>
      <c r="H246" s="168"/>
    </row>
    <row r="247" spans="2:8" ht="16.5">
      <c r="B247" s="168"/>
      <c r="C247" s="168"/>
      <c r="D247" s="168"/>
      <c r="E247" s="168"/>
      <c r="F247" s="168"/>
      <c r="G247" s="168"/>
      <c r="H247" s="168"/>
    </row>
    <row r="248" spans="2:8" ht="16.5">
      <c r="B248" s="168"/>
      <c r="C248" s="168"/>
      <c r="D248" s="168"/>
      <c r="E248" s="168"/>
      <c r="F248" s="168"/>
      <c r="G248" s="168"/>
      <c r="H248" s="168"/>
    </row>
    <row r="249" spans="2:8" ht="16.5">
      <c r="B249" s="168"/>
      <c r="C249" s="168"/>
      <c r="D249" s="168"/>
      <c r="E249" s="168"/>
      <c r="F249" s="168"/>
      <c r="G249" s="168"/>
      <c r="H249" s="168"/>
    </row>
    <row r="250" spans="2:8" ht="16.5">
      <c r="B250" s="168"/>
      <c r="C250" s="168"/>
      <c r="D250" s="168"/>
      <c r="E250" s="168"/>
      <c r="F250" s="168"/>
      <c r="G250" s="168"/>
      <c r="H250" s="168"/>
    </row>
    <row r="251" spans="2:8" ht="16.5">
      <c r="B251" s="168"/>
      <c r="C251" s="168"/>
      <c r="D251" s="168"/>
      <c r="E251" s="168"/>
      <c r="F251" s="168"/>
      <c r="G251" s="168"/>
      <c r="H251" s="168"/>
    </row>
    <row r="252" spans="2:8" ht="16.5">
      <c r="B252" s="168"/>
      <c r="C252" s="168"/>
      <c r="D252" s="168"/>
      <c r="E252" s="168"/>
      <c r="F252" s="168"/>
      <c r="G252" s="168"/>
      <c r="H252" s="168"/>
    </row>
    <row r="253" spans="2:8" ht="16.5">
      <c r="B253" s="168"/>
      <c r="C253" s="168"/>
      <c r="D253" s="168"/>
      <c r="E253" s="168"/>
      <c r="F253" s="168"/>
      <c r="G253" s="168"/>
      <c r="H253" s="168"/>
    </row>
    <row r="254" spans="2:8" ht="16.5">
      <c r="B254" s="168"/>
      <c r="C254" s="168"/>
      <c r="D254" s="168"/>
      <c r="E254" s="168"/>
      <c r="F254" s="168"/>
      <c r="G254" s="168"/>
      <c r="H254" s="168"/>
    </row>
    <row r="255" spans="2:8" ht="16.5">
      <c r="B255" s="168"/>
      <c r="C255" s="168"/>
      <c r="D255" s="168"/>
      <c r="E255" s="168"/>
      <c r="F255" s="168"/>
      <c r="G255" s="168"/>
      <c r="H255" s="168"/>
    </row>
    <row r="256" spans="2:8" ht="16.5">
      <c r="B256" s="168"/>
      <c r="C256" s="168"/>
      <c r="D256" s="168"/>
      <c r="E256" s="168"/>
      <c r="F256" s="168"/>
      <c r="G256" s="168"/>
      <c r="H256" s="168"/>
    </row>
    <row r="257" spans="2:8" ht="16.5">
      <c r="B257" s="168"/>
      <c r="C257" s="168"/>
      <c r="D257" s="168"/>
      <c r="E257" s="168"/>
      <c r="F257" s="168"/>
      <c r="G257" s="168"/>
      <c r="H257" s="168"/>
    </row>
    <row r="258" spans="2:8" ht="16.5">
      <c r="B258" s="168"/>
      <c r="C258" s="168"/>
      <c r="D258" s="168"/>
      <c r="E258" s="168"/>
      <c r="F258" s="168"/>
      <c r="G258" s="168"/>
      <c r="H258" s="168"/>
    </row>
    <row r="259" spans="2:8" ht="16.5">
      <c r="B259" s="168"/>
      <c r="C259" s="168"/>
      <c r="D259" s="168"/>
      <c r="E259" s="168"/>
      <c r="F259" s="168"/>
      <c r="G259" s="168"/>
      <c r="H259" s="168"/>
    </row>
    <row r="260" spans="2:8" ht="16.5">
      <c r="B260" s="168"/>
      <c r="C260" s="168"/>
      <c r="D260" s="168"/>
      <c r="E260" s="168"/>
      <c r="F260" s="168"/>
      <c r="G260" s="168"/>
      <c r="H260" s="168"/>
    </row>
    <row r="261" spans="2:8" ht="16.5">
      <c r="B261" s="168"/>
      <c r="C261" s="168"/>
      <c r="D261" s="168"/>
      <c r="E261" s="168"/>
      <c r="F261" s="168"/>
      <c r="G261" s="168"/>
      <c r="H261" s="168"/>
    </row>
    <row r="262" spans="2:8" ht="16.5">
      <c r="B262" s="168"/>
      <c r="C262" s="168"/>
      <c r="D262" s="168"/>
      <c r="E262" s="168"/>
      <c r="F262" s="168"/>
      <c r="G262" s="168"/>
      <c r="H262" s="168"/>
    </row>
    <row r="263" spans="2:8" ht="16.5">
      <c r="B263" s="168"/>
      <c r="C263" s="168"/>
      <c r="D263" s="168"/>
      <c r="E263" s="168"/>
      <c r="F263" s="168"/>
      <c r="G263" s="168"/>
      <c r="H263" s="168"/>
    </row>
    <row r="264" spans="2:8" ht="16.5">
      <c r="B264" s="168"/>
      <c r="C264" s="168"/>
      <c r="D264" s="168"/>
      <c r="E264" s="168"/>
      <c r="F264" s="168"/>
      <c r="G264" s="168"/>
      <c r="H264" s="168"/>
    </row>
    <row r="265" spans="2:8" ht="16.5">
      <c r="B265" s="168"/>
      <c r="C265" s="168"/>
      <c r="D265" s="168"/>
      <c r="E265" s="168"/>
      <c r="F265" s="168"/>
      <c r="G265" s="168"/>
      <c r="H265" s="168"/>
    </row>
    <row r="266" spans="2:8" ht="16.5">
      <c r="B266" s="168"/>
      <c r="C266" s="168"/>
      <c r="D266" s="168"/>
      <c r="E266" s="168"/>
      <c r="F266" s="168"/>
      <c r="G266" s="168"/>
      <c r="H266" s="168"/>
    </row>
    <row r="267" spans="2:8" ht="16.5">
      <c r="B267" s="168"/>
      <c r="C267" s="168"/>
      <c r="D267" s="168"/>
      <c r="E267" s="168"/>
      <c r="F267" s="168"/>
      <c r="G267" s="168"/>
      <c r="H267" s="168"/>
    </row>
    <row r="268" spans="2:8" ht="16.5">
      <c r="B268" s="168"/>
      <c r="C268" s="168"/>
      <c r="D268" s="168"/>
      <c r="E268" s="168"/>
      <c r="F268" s="168"/>
      <c r="G268" s="168"/>
      <c r="H268" s="168"/>
    </row>
    <row r="269" spans="2:8" ht="16.5">
      <c r="B269" s="168"/>
      <c r="C269" s="168"/>
      <c r="D269" s="168"/>
      <c r="E269" s="168"/>
      <c r="F269" s="168"/>
      <c r="G269" s="168"/>
      <c r="H269" s="168"/>
    </row>
    <row r="270" spans="2:8" ht="16.5">
      <c r="B270" s="168"/>
      <c r="C270" s="168"/>
      <c r="D270" s="168"/>
      <c r="E270" s="168"/>
      <c r="F270" s="168"/>
      <c r="G270" s="168"/>
      <c r="H270" s="168"/>
    </row>
    <row r="271" spans="2:8" ht="16.5">
      <c r="B271" s="168"/>
      <c r="C271" s="168"/>
      <c r="D271" s="168"/>
      <c r="E271" s="168"/>
      <c r="F271" s="168"/>
      <c r="G271" s="168"/>
      <c r="H271" s="168"/>
    </row>
    <row r="272" spans="2:8" ht="16.5">
      <c r="B272" s="168"/>
      <c r="C272" s="168"/>
      <c r="D272" s="168"/>
      <c r="E272" s="168"/>
      <c r="F272" s="168"/>
      <c r="G272" s="168"/>
      <c r="H272" s="168"/>
    </row>
    <row r="273" spans="2:8" ht="16.5">
      <c r="B273" s="168"/>
      <c r="C273" s="168"/>
      <c r="D273" s="168"/>
      <c r="E273" s="168"/>
      <c r="F273" s="168"/>
      <c r="G273" s="168"/>
      <c r="H273" s="168"/>
    </row>
    <row r="274" spans="2:8" ht="16.5">
      <c r="B274" s="168"/>
      <c r="C274" s="168"/>
      <c r="D274" s="168"/>
      <c r="E274" s="168"/>
      <c r="F274" s="168"/>
      <c r="G274" s="168"/>
      <c r="H274" s="168"/>
    </row>
    <row r="275" spans="2:8" ht="16.5">
      <c r="B275" s="168"/>
      <c r="C275" s="168"/>
      <c r="D275" s="168"/>
      <c r="E275" s="168"/>
      <c r="F275" s="168"/>
      <c r="G275" s="168"/>
      <c r="H275" s="168"/>
    </row>
    <row r="276" spans="2:8" ht="16.5">
      <c r="B276" s="168"/>
      <c r="C276" s="168"/>
      <c r="D276" s="168"/>
      <c r="E276" s="168"/>
      <c r="F276" s="168"/>
      <c r="G276" s="168"/>
      <c r="H276" s="168"/>
    </row>
    <row r="277" spans="2:8" ht="16.5">
      <c r="B277" s="168"/>
      <c r="C277" s="168"/>
      <c r="D277" s="168"/>
      <c r="E277" s="168"/>
      <c r="F277" s="168"/>
      <c r="G277" s="168"/>
      <c r="H277" s="168"/>
    </row>
    <row r="278" spans="2:8" ht="16.5">
      <c r="B278" s="168"/>
      <c r="C278" s="168"/>
      <c r="D278" s="168"/>
      <c r="E278" s="168"/>
      <c r="F278" s="168"/>
      <c r="G278" s="168"/>
      <c r="H278" s="168"/>
    </row>
    <row r="279" spans="2:8" ht="16.5">
      <c r="B279" s="168"/>
      <c r="C279" s="168"/>
      <c r="D279" s="168"/>
      <c r="E279" s="168"/>
      <c r="F279" s="168"/>
      <c r="G279" s="168"/>
      <c r="H279" s="168"/>
    </row>
    <row r="280" spans="2:8" ht="16.5">
      <c r="B280" s="168"/>
      <c r="C280" s="168"/>
      <c r="D280" s="168"/>
      <c r="E280" s="168"/>
      <c r="F280" s="168"/>
      <c r="G280" s="168"/>
      <c r="H280" s="168"/>
    </row>
    <row r="281" spans="2:8" ht="16.5">
      <c r="B281" s="168"/>
      <c r="C281" s="168"/>
      <c r="D281" s="168"/>
      <c r="E281" s="168"/>
      <c r="F281" s="168"/>
      <c r="G281" s="168"/>
      <c r="H281" s="168"/>
    </row>
    <row r="282" spans="2:8" ht="16.5">
      <c r="B282" s="168"/>
      <c r="C282" s="168"/>
      <c r="D282" s="168"/>
      <c r="E282" s="168"/>
      <c r="F282" s="168"/>
      <c r="G282" s="168"/>
      <c r="H282" s="168"/>
    </row>
    <row r="283" spans="2:8" ht="16.5">
      <c r="B283" s="168"/>
      <c r="C283" s="168"/>
      <c r="D283" s="168"/>
      <c r="E283" s="168"/>
      <c r="F283" s="168"/>
      <c r="G283" s="168"/>
      <c r="H283" s="168"/>
    </row>
    <row r="284" spans="2:8" ht="16.5">
      <c r="B284" s="168"/>
      <c r="C284" s="168"/>
      <c r="D284" s="168"/>
      <c r="E284" s="168"/>
      <c r="F284" s="168"/>
      <c r="G284" s="168"/>
      <c r="H284" s="168"/>
    </row>
    <row r="285" spans="2:8" ht="16.5">
      <c r="B285" s="168"/>
      <c r="C285" s="168"/>
      <c r="D285" s="168"/>
      <c r="E285" s="168"/>
      <c r="F285" s="168"/>
      <c r="G285" s="168"/>
      <c r="H285" s="168"/>
    </row>
    <row r="286" spans="2:8" ht="16.5">
      <c r="B286" s="168"/>
      <c r="C286" s="168"/>
      <c r="D286" s="168"/>
      <c r="E286" s="168"/>
      <c r="F286" s="168"/>
      <c r="G286" s="168"/>
      <c r="H286" s="168"/>
    </row>
    <row r="287" spans="2:8" ht="16.5">
      <c r="B287" s="168"/>
      <c r="C287" s="168"/>
      <c r="D287" s="168"/>
      <c r="E287" s="168"/>
      <c r="F287" s="168"/>
      <c r="G287" s="168"/>
      <c r="H287" s="168"/>
    </row>
    <row r="288" spans="2:8" ht="16.5">
      <c r="B288" s="168"/>
      <c r="C288" s="168"/>
      <c r="D288" s="168"/>
      <c r="E288" s="168"/>
      <c r="F288" s="168"/>
      <c r="G288" s="168"/>
      <c r="H288" s="168"/>
    </row>
    <row r="289" spans="2:8" ht="16.5">
      <c r="B289" s="168"/>
      <c r="C289" s="168"/>
      <c r="D289" s="168"/>
      <c r="E289" s="168"/>
      <c r="F289" s="168"/>
      <c r="G289" s="168"/>
      <c r="H289" s="168"/>
    </row>
    <row r="290" spans="2:8" ht="16.5">
      <c r="B290" s="168"/>
      <c r="C290" s="168"/>
      <c r="D290" s="168"/>
      <c r="E290" s="168"/>
      <c r="F290" s="168"/>
      <c r="G290" s="168"/>
      <c r="H290" s="168"/>
    </row>
    <row r="291" spans="2:8" ht="16.5">
      <c r="B291" s="168"/>
      <c r="C291" s="168"/>
      <c r="D291" s="168"/>
      <c r="E291" s="168"/>
      <c r="F291" s="168"/>
      <c r="G291" s="168"/>
      <c r="H291" s="168"/>
    </row>
    <row r="292" spans="2:8" ht="16.5">
      <c r="B292" s="168"/>
      <c r="C292" s="168"/>
      <c r="D292" s="168"/>
      <c r="E292" s="168"/>
      <c r="F292" s="168"/>
      <c r="G292" s="168"/>
      <c r="H292" s="168"/>
    </row>
    <row r="293" spans="2:8" ht="16.5">
      <c r="B293" s="168"/>
      <c r="C293" s="168"/>
      <c r="D293" s="168"/>
      <c r="E293" s="168"/>
      <c r="F293" s="168"/>
      <c r="G293" s="168"/>
      <c r="H293" s="168"/>
    </row>
    <row r="294" spans="2:8" ht="16.5">
      <c r="B294" s="168"/>
      <c r="C294" s="168"/>
      <c r="D294" s="168"/>
      <c r="E294" s="168"/>
      <c r="F294" s="168"/>
      <c r="G294" s="168"/>
      <c r="H294" s="168"/>
    </row>
    <row r="295" spans="2:8" ht="16.5">
      <c r="B295" s="168"/>
      <c r="C295" s="168"/>
      <c r="D295" s="168"/>
      <c r="E295" s="168"/>
      <c r="F295" s="168"/>
      <c r="G295" s="168"/>
      <c r="H295" s="168"/>
    </row>
    <row r="296" spans="2:8" ht="16.5">
      <c r="B296" s="168"/>
      <c r="C296" s="168"/>
      <c r="D296" s="168"/>
      <c r="E296" s="168"/>
      <c r="F296" s="168"/>
      <c r="G296" s="168"/>
      <c r="H296" s="168"/>
    </row>
    <row r="297" spans="2:8" ht="16.5">
      <c r="B297" s="168"/>
      <c r="C297" s="168"/>
      <c r="D297" s="168"/>
      <c r="E297" s="168"/>
      <c r="F297" s="168"/>
      <c r="G297" s="168"/>
      <c r="H297" s="168"/>
    </row>
    <row r="298" spans="2:8" ht="16.5">
      <c r="B298" s="168"/>
      <c r="C298" s="168"/>
      <c r="D298" s="168"/>
      <c r="E298" s="168"/>
      <c r="F298" s="168"/>
      <c r="G298" s="168"/>
      <c r="H298" s="168"/>
    </row>
    <row r="299" spans="2:8" ht="16.5">
      <c r="B299" s="168"/>
      <c r="C299" s="168"/>
      <c r="D299" s="168"/>
      <c r="E299" s="168"/>
      <c r="F299" s="168"/>
      <c r="G299" s="168"/>
      <c r="H299" s="168"/>
    </row>
    <row r="300" spans="2:8" ht="16.5">
      <c r="B300" s="168"/>
      <c r="C300" s="168"/>
      <c r="D300" s="168"/>
      <c r="E300" s="168"/>
      <c r="F300" s="168"/>
      <c r="G300" s="168"/>
      <c r="H300" s="168"/>
    </row>
    <row r="301" spans="2:8" ht="16.5">
      <c r="B301" s="168"/>
      <c r="C301" s="168"/>
      <c r="D301" s="168"/>
      <c r="E301" s="168"/>
      <c r="F301" s="168"/>
      <c r="G301" s="168"/>
      <c r="H301" s="168"/>
    </row>
    <row r="302" spans="2:8" ht="16.5">
      <c r="B302" s="168"/>
      <c r="C302" s="168"/>
      <c r="D302" s="168"/>
      <c r="E302" s="168"/>
      <c r="F302" s="168"/>
      <c r="G302" s="168"/>
      <c r="H302" s="168"/>
    </row>
    <row r="303" spans="2:8" ht="16.5">
      <c r="B303" s="168"/>
      <c r="C303" s="168"/>
      <c r="D303" s="168"/>
      <c r="E303" s="168"/>
      <c r="F303" s="168"/>
      <c r="G303" s="168"/>
      <c r="H303" s="168"/>
    </row>
    <row r="304" spans="2:8" ht="16.5">
      <c r="B304" s="168"/>
      <c r="C304" s="168"/>
      <c r="D304" s="168"/>
      <c r="E304" s="168"/>
      <c r="F304" s="168"/>
      <c r="G304" s="168"/>
      <c r="H304" s="168"/>
    </row>
    <row r="305" spans="2:8" ht="16.5">
      <c r="B305" s="168"/>
      <c r="C305" s="168"/>
      <c r="D305" s="168"/>
      <c r="E305" s="168"/>
      <c r="F305" s="168"/>
      <c r="G305" s="168"/>
      <c r="H305" s="168"/>
    </row>
    <row r="306" spans="2:8" ht="16.5">
      <c r="B306" s="168"/>
      <c r="C306" s="168"/>
      <c r="D306" s="168"/>
      <c r="E306" s="168"/>
      <c r="F306" s="168"/>
      <c r="G306" s="168"/>
      <c r="H306" s="168"/>
    </row>
    <row r="307" spans="2:8" ht="16.5">
      <c r="B307" s="168"/>
      <c r="C307" s="168"/>
      <c r="D307" s="168"/>
      <c r="E307" s="168"/>
      <c r="F307" s="168"/>
      <c r="G307" s="168"/>
      <c r="H307" s="168"/>
    </row>
    <row r="308" spans="2:8" ht="16.5">
      <c r="B308" s="168"/>
      <c r="C308" s="168"/>
      <c r="D308" s="168"/>
      <c r="E308" s="168"/>
      <c r="F308" s="168"/>
      <c r="G308" s="168"/>
      <c r="H308" s="168"/>
    </row>
    <row r="309" spans="2:8" ht="16.5">
      <c r="B309" s="168"/>
      <c r="C309" s="168"/>
      <c r="D309" s="168"/>
      <c r="E309" s="168"/>
      <c r="F309" s="168"/>
      <c r="G309" s="168"/>
      <c r="H309" s="168"/>
    </row>
    <row r="310" spans="2:8" ht="16.5">
      <c r="B310" s="168"/>
      <c r="C310" s="168"/>
      <c r="D310" s="168"/>
      <c r="E310" s="168"/>
      <c r="F310" s="168"/>
      <c r="G310" s="168"/>
      <c r="H310" s="168"/>
    </row>
    <row r="311" spans="2:8" ht="16.5">
      <c r="B311" s="168"/>
      <c r="C311" s="168"/>
      <c r="D311" s="168"/>
      <c r="E311" s="168"/>
      <c r="F311" s="168"/>
      <c r="G311" s="168"/>
      <c r="H311" s="168"/>
    </row>
    <row r="312" spans="2:8" ht="16.5">
      <c r="B312" s="168"/>
      <c r="C312" s="168"/>
      <c r="D312" s="168"/>
      <c r="E312" s="168"/>
      <c r="F312" s="168"/>
      <c r="G312" s="168"/>
      <c r="H312" s="168"/>
    </row>
    <row r="313" spans="2:8" ht="16.5">
      <c r="B313" s="168"/>
      <c r="C313" s="168"/>
      <c r="D313" s="168"/>
      <c r="E313" s="168"/>
      <c r="F313" s="168"/>
      <c r="G313" s="168"/>
      <c r="H313" s="168"/>
    </row>
    <row r="314" spans="2:8" ht="16.5">
      <c r="B314" s="168"/>
      <c r="C314" s="168"/>
      <c r="D314" s="168"/>
      <c r="E314" s="168"/>
      <c r="F314" s="168"/>
      <c r="G314" s="168"/>
      <c r="H314" s="168"/>
    </row>
    <row r="315" spans="2:8" ht="16.5">
      <c r="B315" s="168"/>
      <c r="C315" s="168"/>
      <c r="D315" s="168"/>
      <c r="E315" s="168"/>
      <c r="F315" s="168"/>
      <c r="G315" s="168"/>
      <c r="H315" s="168"/>
    </row>
    <row r="316" spans="2:8" ht="16.5">
      <c r="B316" s="168"/>
      <c r="C316" s="168"/>
      <c r="D316" s="168"/>
      <c r="E316" s="168"/>
      <c r="F316" s="168"/>
      <c r="G316" s="168"/>
      <c r="H316" s="168"/>
    </row>
    <row r="317" spans="2:8" ht="16.5">
      <c r="B317" s="168"/>
      <c r="C317" s="168"/>
      <c r="D317" s="168"/>
      <c r="E317" s="168"/>
      <c r="F317" s="168"/>
      <c r="G317" s="168"/>
      <c r="H317" s="168"/>
    </row>
    <row r="318" spans="2:8" ht="16.5">
      <c r="B318" s="168"/>
      <c r="C318" s="168"/>
      <c r="D318" s="168"/>
      <c r="E318" s="168"/>
      <c r="F318" s="168"/>
      <c r="G318" s="168"/>
      <c r="H318" s="168"/>
    </row>
    <row r="319" spans="2:8" ht="16.5">
      <c r="B319" s="168"/>
      <c r="C319" s="168"/>
      <c r="D319" s="168"/>
      <c r="E319" s="168"/>
      <c r="F319" s="168"/>
      <c r="G319" s="168"/>
      <c r="H319" s="168"/>
    </row>
    <row r="320" spans="2:8" ht="16.5">
      <c r="B320" s="168"/>
      <c r="C320" s="168"/>
      <c r="D320" s="168"/>
      <c r="E320" s="168"/>
      <c r="F320" s="168"/>
      <c r="G320" s="168"/>
      <c r="H320" s="168"/>
    </row>
    <row r="321" spans="2:8" ht="16.5">
      <c r="B321" s="168"/>
      <c r="C321" s="168"/>
      <c r="D321" s="168"/>
      <c r="E321" s="168"/>
      <c r="F321" s="168"/>
      <c r="G321" s="168"/>
      <c r="H321" s="168"/>
    </row>
    <row r="322" spans="2:8" ht="16.5">
      <c r="B322" s="168"/>
      <c r="C322" s="168"/>
      <c r="D322" s="168"/>
      <c r="E322" s="168"/>
      <c r="F322" s="168"/>
      <c r="G322" s="168"/>
      <c r="H322" s="168"/>
    </row>
    <row r="323" spans="2:8" ht="16.5">
      <c r="B323" s="168"/>
      <c r="C323" s="168"/>
      <c r="D323" s="168"/>
      <c r="E323" s="168"/>
      <c r="F323" s="168"/>
      <c r="G323" s="168"/>
      <c r="H323" s="168"/>
    </row>
    <row r="324" spans="2:8" ht="16.5">
      <c r="B324" s="168"/>
      <c r="C324" s="168"/>
      <c r="D324" s="168"/>
      <c r="E324" s="168"/>
      <c r="F324" s="168"/>
      <c r="G324" s="168"/>
      <c r="H324" s="168"/>
    </row>
    <row r="325" spans="2:8" ht="16.5">
      <c r="B325" s="168"/>
      <c r="C325" s="168"/>
      <c r="D325" s="168"/>
      <c r="E325" s="168"/>
      <c r="F325" s="168"/>
      <c r="G325" s="168"/>
      <c r="H325" s="168"/>
    </row>
    <row r="326" spans="2:8" ht="16.5">
      <c r="B326" s="168"/>
      <c r="C326" s="168"/>
      <c r="D326" s="168"/>
      <c r="E326" s="168"/>
      <c r="F326" s="168"/>
      <c r="G326" s="168"/>
      <c r="H326" s="168"/>
    </row>
    <row r="327" spans="2:8" ht="16.5">
      <c r="B327" s="168"/>
      <c r="C327" s="168"/>
      <c r="D327" s="168"/>
      <c r="E327" s="168"/>
      <c r="F327" s="168"/>
      <c r="G327" s="168"/>
      <c r="H327" s="168"/>
    </row>
    <row r="328" spans="2:8" ht="16.5">
      <c r="B328" s="168"/>
      <c r="C328" s="168"/>
      <c r="D328" s="168"/>
      <c r="E328" s="168"/>
      <c r="F328" s="168"/>
      <c r="G328" s="168"/>
      <c r="H328" s="168"/>
    </row>
    <row r="329" spans="2:8" ht="16.5">
      <c r="B329" s="168"/>
      <c r="C329" s="168"/>
      <c r="D329" s="168"/>
      <c r="E329" s="168"/>
      <c r="F329" s="168"/>
      <c r="G329" s="168"/>
      <c r="H329" s="168"/>
    </row>
    <row r="330" spans="2:8" ht="16.5">
      <c r="B330" s="168"/>
      <c r="C330" s="168"/>
      <c r="D330" s="168"/>
      <c r="E330" s="168"/>
      <c r="F330" s="168"/>
      <c r="G330" s="168"/>
      <c r="H330" s="168"/>
    </row>
    <row r="331" spans="2:8" ht="16.5">
      <c r="B331" s="168"/>
      <c r="C331" s="168"/>
      <c r="D331" s="168"/>
      <c r="E331" s="168"/>
      <c r="F331" s="168"/>
      <c r="G331" s="168"/>
      <c r="H331" s="168"/>
    </row>
    <row r="332" spans="2:8" ht="16.5">
      <c r="B332" s="168"/>
      <c r="C332" s="168"/>
      <c r="D332" s="168"/>
      <c r="E332" s="168"/>
      <c r="F332" s="168"/>
      <c r="G332" s="168"/>
      <c r="H332" s="168"/>
    </row>
    <row r="333" spans="2:8" ht="16.5">
      <c r="B333" s="168"/>
      <c r="C333" s="168"/>
      <c r="D333" s="168"/>
      <c r="E333" s="168"/>
      <c r="F333" s="168"/>
      <c r="G333" s="168"/>
      <c r="H333" s="168"/>
    </row>
    <row r="334" spans="2:8" ht="16.5">
      <c r="B334" s="168"/>
      <c r="C334" s="168"/>
      <c r="D334" s="168"/>
      <c r="E334" s="168"/>
      <c r="F334" s="168"/>
      <c r="G334" s="168"/>
      <c r="H334" s="168"/>
    </row>
    <row r="335" spans="2:8" ht="16.5">
      <c r="B335" s="168"/>
      <c r="C335" s="168"/>
      <c r="D335" s="168"/>
      <c r="E335" s="168"/>
      <c r="F335" s="168"/>
      <c r="G335" s="168"/>
      <c r="H335" s="168"/>
    </row>
    <row r="336" spans="2:8" ht="16.5">
      <c r="B336" s="168"/>
      <c r="C336" s="168"/>
      <c r="D336" s="168"/>
      <c r="E336" s="168"/>
      <c r="F336" s="168"/>
      <c r="G336" s="168"/>
      <c r="H336" s="168"/>
    </row>
    <row r="337" spans="2:8" ht="16.5">
      <c r="B337" s="168"/>
      <c r="C337" s="168"/>
      <c r="D337" s="168"/>
      <c r="E337" s="168"/>
      <c r="F337" s="168"/>
      <c r="G337" s="168"/>
      <c r="H337" s="168"/>
    </row>
    <row r="338" spans="2:8" ht="16.5">
      <c r="B338" s="168"/>
      <c r="C338" s="168"/>
      <c r="D338" s="168"/>
      <c r="E338" s="168"/>
      <c r="F338" s="168"/>
      <c r="G338" s="168"/>
      <c r="H338" s="168"/>
    </row>
    <row r="339" spans="2:8" ht="16.5">
      <c r="B339" s="168"/>
      <c r="C339" s="168"/>
      <c r="D339" s="168"/>
      <c r="E339" s="168"/>
      <c r="F339" s="168"/>
      <c r="G339" s="168"/>
      <c r="H339" s="168"/>
    </row>
    <row r="340" spans="2:8" ht="16.5">
      <c r="B340" s="168"/>
      <c r="C340" s="168"/>
      <c r="D340" s="168"/>
      <c r="E340" s="168"/>
      <c r="F340" s="168"/>
      <c r="G340" s="168"/>
      <c r="H340" s="168"/>
    </row>
    <row r="341" spans="2:8" ht="16.5">
      <c r="B341" s="168"/>
      <c r="C341" s="168"/>
      <c r="D341" s="168"/>
      <c r="E341" s="168"/>
      <c r="F341" s="168"/>
      <c r="G341" s="168"/>
      <c r="H341" s="168"/>
    </row>
    <row r="342" spans="2:8" ht="16.5">
      <c r="B342" s="168"/>
      <c r="C342" s="168"/>
      <c r="D342" s="168"/>
      <c r="E342" s="168"/>
      <c r="F342" s="168"/>
      <c r="G342" s="168"/>
      <c r="H342" s="168"/>
    </row>
    <row r="343" spans="2:8" ht="16.5">
      <c r="B343" s="168"/>
      <c r="C343" s="168"/>
      <c r="D343" s="168"/>
      <c r="E343" s="168"/>
      <c r="F343" s="168"/>
      <c r="G343" s="168"/>
      <c r="H343" s="168"/>
    </row>
    <row r="344" spans="2:8" ht="16.5">
      <c r="B344" s="168"/>
      <c r="C344" s="168"/>
      <c r="D344" s="168"/>
      <c r="E344" s="168"/>
      <c r="F344" s="168"/>
      <c r="G344" s="168"/>
      <c r="H344" s="168"/>
    </row>
    <row r="345" spans="2:8" ht="16.5">
      <c r="B345" s="168"/>
      <c r="C345" s="168"/>
      <c r="D345" s="168"/>
      <c r="E345" s="168"/>
      <c r="F345" s="168"/>
      <c r="G345" s="168"/>
      <c r="H345" s="168"/>
    </row>
    <row r="346" spans="2:8" ht="16.5">
      <c r="B346" s="168"/>
      <c r="C346" s="168"/>
      <c r="D346" s="168"/>
      <c r="E346" s="168"/>
      <c r="F346" s="168"/>
      <c r="G346" s="168"/>
      <c r="H346" s="168"/>
    </row>
    <row r="347" spans="2:8" ht="16.5">
      <c r="B347" s="168"/>
      <c r="C347" s="168"/>
      <c r="D347" s="168"/>
      <c r="E347" s="168"/>
      <c r="F347" s="168"/>
      <c r="G347" s="168"/>
      <c r="H347" s="168"/>
    </row>
    <row r="348" spans="2:8" ht="16.5">
      <c r="B348" s="168"/>
      <c r="C348" s="168"/>
      <c r="D348" s="168"/>
      <c r="E348" s="168"/>
      <c r="F348" s="168"/>
      <c r="G348" s="168"/>
      <c r="H348" s="168"/>
    </row>
    <row r="349" spans="2:8" ht="16.5">
      <c r="B349" s="168"/>
      <c r="C349" s="168"/>
      <c r="D349" s="168"/>
      <c r="E349" s="168"/>
      <c r="F349" s="168"/>
      <c r="G349" s="168"/>
      <c r="H349" s="168"/>
    </row>
    <row r="350" spans="2:8" ht="16.5">
      <c r="B350" s="168"/>
      <c r="C350" s="168"/>
      <c r="D350" s="168"/>
      <c r="E350" s="168"/>
      <c r="F350" s="168"/>
      <c r="G350" s="168"/>
      <c r="H350" s="168"/>
    </row>
    <row r="351" spans="2:8" ht="16.5">
      <c r="B351" s="168"/>
      <c r="C351" s="168"/>
      <c r="D351" s="168"/>
      <c r="E351" s="168"/>
      <c r="F351" s="168"/>
      <c r="G351" s="168"/>
      <c r="H351" s="168"/>
    </row>
    <row r="352" spans="2:8" ht="16.5">
      <c r="B352" s="168"/>
      <c r="C352" s="168"/>
      <c r="D352" s="168"/>
      <c r="E352" s="168"/>
      <c r="F352" s="168"/>
      <c r="G352" s="168"/>
      <c r="H352" s="168"/>
    </row>
    <row r="353" spans="2:8" ht="16.5">
      <c r="B353" s="168"/>
      <c r="C353" s="168"/>
      <c r="D353" s="168"/>
      <c r="E353" s="168"/>
      <c r="F353" s="168"/>
      <c r="G353" s="168"/>
      <c r="H353" s="168"/>
    </row>
    <row r="354" spans="2:8" ht="16.5">
      <c r="B354" s="168"/>
      <c r="C354" s="168"/>
      <c r="D354" s="168"/>
      <c r="E354" s="168"/>
      <c r="F354" s="168"/>
      <c r="G354" s="168"/>
      <c r="H354" s="168"/>
    </row>
    <row r="355" spans="2:8" ht="16.5">
      <c r="B355" s="168"/>
      <c r="C355" s="168"/>
      <c r="D355" s="168"/>
      <c r="E355" s="168"/>
      <c r="F355" s="168"/>
      <c r="G355" s="168"/>
      <c r="H355" s="168"/>
    </row>
    <row r="356" spans="2:8" ht="16.5">
      <c r="B356" s="168"/>
      <c r="C356" s="168"/>
      <c r="D356" s="168"/>
      <c r="E356" s="168"/>
      <c r="F356" s="168"/>
      <c r="G356" s="168"/>
      <c r="H356" s="168"/>
    </row>
    <row r="357" spans="2:8" ht="16.5">
      <c r="B357" s="168"/>
      <c r="C357" s="168"/>
      <c r="D357" s="168"/>
      <c r="E357" s="168"/>
      <c r="F357" s="168"/>
      <c r="G357" s="168"/>
      <c r="H357" s="168"/>
    </row>
    <row r="358" spans="2:8" ht="16.5">
      <c r="B358" s="168"/>
      <c r="C358" s="168"/>
      <c r="D358" s="168"/>
      <c r="E358" s="168"/>
      <c r="F358" s="168"/>
      <c r="G358" s="168"/>
      <c r="H358" s="168"/>
    </row>
    <row r="359" spans="2:8" ht="16.5">
      <c r="B359" s="168"/>
      <c r="C359" s="168"/>
      <c r="D359" s="168"/>
      <c r="E359" s="168"/>
      <c r="F359" s="168"/>
      <c r="G359" s="168"/>
      <c r="H359" s="168"/>
    </row>
    <row r="360" spans="2:8" ht="16.5">
      <c r="B360" s="168"/>
      <c r="C360" s="168"/>
      <c r="D360" s="168"/>
      <c r="E360" s="168"/>
      <c r="F360" s="168"/>
      <c r="G360" s="168"/>
      <c r="H360" s="168"/>
    </row>
    <row r="361" spans="2:8" ht="16.5">
      <c r="B361" s="168"/>
      <c r="C361" s="168"/>
      <c r="D361" s="168"/>
      <c r="E361" s="168"/>
      <c r="F361" s="168"/>
      <c r="G361" s="168"/>
      <c r="H361" s="168"/>
    </row>
    <row r="362" spans="2:8" ht="16.5">
      <c r="B362" s="168"/>
      <c r="C362" s="168"/>
      <c r="D362" s="168"/>
      <c r="E362" s="168"/>
      <c r="F362" s="168"/>
      <c r="G362" s="168"/>
      <c r="H362" s="168"/>
    </row>
    <row r="363" spans="2:8" ht="16.5">
      <c r="B363" s="168"/>
      <c r="C363" s="168"/>
      <c r="D363" s="168"/>
      <c r="E363" s="168"/>
      <c r="F363" s="168"/>
      <c r="G363" s="168"/>
      <c r="H363" s="168"/>
    </row>
    <row r="364" spans="2:8" ht="16.5">
      <c r="B364" s="168"/>
      <c r="C364" s="168"/>
      <c r="D364" s="168"/>
      <c r="E364" s="168"/>
      <c r="F364" s="168"/>
      <c r="G364" s="168"/>
      <c r="H364" s="168"/>
    </row>
    <row r="365" spans="2:8" ht="16.5">
      <c r="B365" s="168"/>
      <c r="C365" s="168"/>
      <c r="D365" s="168"/>
      <c r="E365" s="168"/>
      <c r="F365" s="168"/>
      <c r="G365" s="168"/>
      <c r="H365" s="168"/>
    </row>
    <row r="366" spans="2:8" ht="16.5">
      <c r="B366" s="168"/>
      <c r="C366" s="168"/>
      <c r="D366" s="168"/>
      <c r="E366" s="168"/>
      <c r="F366" s="168"/>
      <c r="G366" s="168"/>
      <c r="H366" s="168"/>
    </row>
    <row r="367" spans="2:8" ht="16.5">
      <c r="B367" s="168"/>
      <c r="C367" s="168"/>
      <c r="D367" s="168"/>
      <c r="E367" s="168"/>
      <c r="F367" s="168"/>
      <c r="G367" s="168"/>
      <c r="H367" s="168"/>
    </row>
    <row r="368" spans="2:8" ht="16.5">
      <c r="B368" s="168"/>
      <c r="C368" s="168"/>
      <c r="D368" s="168"/>
      <c r="E368" s="168"/>
      <c r="F368" s="168"/>
      <c r="G368" s="168"/>
      <c r="H368" s="168"/>
    </row>
    <row r="369" spans="2:8" ht="16.5">
      <c r="B369" s="168"/>
      <c r="C369" s="168"/>
      <c r="D369" s="168"/>
      <c r="E369" s="168"/>
      <c r="F369" s="168"/>
      <c r="G369" s="168"/>
      <c r="H369" s="168"/>
    </row>
    <row r="370" spans="2:8" ht="16.5">
      <c r="B370" s="168"/>
      <c r="C370" s="168"/>
      <c r="D370" s="168"/>
      <c r="E370" s="168"/>
      <c r="F370" s="168"/>
      <c r="G370" s="168"/>
      <c r="H370" s="168"/>
    </row>
    <row r="371" spans="2:8" ht="16.5">
      <c r="B371" s="168"/>
      <c r="C371" s="168"/>
      <c r="D371" s="168"/>
      <c r="E371" s="168"/>
      <c r="F371" s="168"/>
      <c r="G371" s="168"/>
      <c r="H371" s="168"/>
    </row>
    <row r="372" spans="2:8" ht="16.5">
      <c r="B372" s="168"/>
      <c r="C372" s="168"/>
      <c r="D372" s="168"/>
      <c r="E372" s="168"/>
      <c r="F372" s="168"/>
      <c r="G372" s="168"/>
      <c r="H372" s="168"/>
    </row>
    <row r="373" spans="2:8" ht="16.5">
      <c r="B373" s="168"/>
      <c r="C373" s="168"/>
      <c r="D373" s="168"/>
      <c r="E373" s="168"/>
      <c r="F373" s="168"/>
      <c r="G373" s="168"/>
      <c r="H373" s="168"/>
    </row>
    <row r="374" spans="2:8" ht="16.5">
      <c r="B374" s="168"/>
      <c r="C374" s="168"/>
      <c r="D374" s="168"/>
      <c r="E374" s="168"/>
      <c r="F374" s="168"/>
      <c r="G374" s="168"/>
      <c r="H374" s="168"/>
    </row>
    <row r="375" spans="2:8" ht="16.5">
      <c r="B375" s="168"/>
      <c r="C375" s="168"/>
      <c r="D375" s="168"/>
      <c r="E375" s="168"/>
      <c r="F375" s="168"/>
      <c r="G375" s="168"/>
      <c r="H375" s="168"/>
    </row>
    <row r="376" spans="2:8" ht="16.5">
      <c r="B376" s="168"/>
      <c r="C376" s="168"/>
      <c r="D376" s="168"/>
      <c r="E376" s="168"/>
      <c r="F376" s="168"/>
      <c r="G376" s="168"/>
      <c r="H376" s="168"/>
    </row>
    <row r="377" spans="2:8" ht="16.5">
      <c r="B377" s="168"/>
      <c r="C377" s="168"/>
      <c r="D377" s="168"/>
      <c r="E377" s="168"/>
      <c r="F377" s="168"/>
      <c r="G377" s="168"/>
      <c r="H377" s="168"/>
    </row>
    <row r="378" spans="2:8" ht="16.5">
      <c r="B378" s="168"/>
      <c r="C378" s="168"/>
      <c r="D378" s="168"/>
      <c r="E378" s="168"/>
      <c r="F378" s="168"/>
      <c r="G378" s="168"/>
      <c r="H378" s="168"/>
    </row>
    <row r="379" spans="2:8" ht="16.5">
      <c r="B379" s="168"/>
      <c r="C379" s="168"/>
      <c r="D379" s="168"/>
      <c r="E379" s="168"/>
      <c r="F379" s="168"/>
      <c r="G379" s="168"/>
      <c r="H379" s="168"/>
    </row>
    <row r="380" spans="2:8" ht="16.5">
      <c r="B380" s="168"/>
      <c r="C380" s="168"/>
      <c r="D380" s="168"/>
      <c r="E380" s="168"/>
      <c r="F380" s="168"/>
      <c r="G380" s="168"/>
      <c r="H380" s="168"/>
    </row>
    <row r="381" spans="2:8" ht="16.5">
      <c r="B381" s="168"/>
      <c r="C381" s="168"/>
      <c r="D381" s="168"/>
      <c r="E381" s="168"/>
      <c r="F381" s="168"/>
      <c r="G381" s="168"/>
      <c r="H381" s="168"/>
    </row>
    <row r="382" spans="2:8" ht="16.5">
      <c r="B382" s="168"/>
      <c r="C382" s="168"/>
      <c r="D382" s="168"/>
      <c r="E382" s="168"/>
      <c r="F382" s="168"/>
      <c r="G382" s="168"/>
      <c r="H382" s="168"/>
    </row>
    <row r="383" spans="2:8" ht="16.5">
      <c r="B383" s="168"/>
      <c r="C383" s="168"/>
      <c r="D383" s="168"/>
      <c r="E383" s="168"/>
      <c r="F383" s="168"/>
      <c r="G383" s="168"/>
      <c r="H383" s="168"/>
    </row>
    <row r="384" spans="2:8" ht="16.5">
      <c r="B384" s="168"/>
      <c r="C384" s="168"/>
      <c r="D384" s="168"/>
      <c r="E384" s="168"/>
      <c r="F384" s="168"/>
      <c r="G384" s="168"/>
      <c r="H384" s="168"/>
    </row>
    <row r="385" spans="2:8" ht="16.5">
      <c r="B385" s="168"/>
      <c r="C385" s="168"/>
      <c r="D385" s="168"/>
      <c r="E385" s="168"/>
      <c r="F385" s="168"/>
      <c r="G385" s="168"/>
      <c r="H385" s="168"/>
    </row>
    <row r="386" spans="2:8" ht="16.5">
      <c r="B386" s="168"/>
      <c r="C386" s="168"/>
      <c r="D386" s="168"/>
      <c r="E386" s="168"/>
      <c r="F386" s="168"/>
      <c r="G386" s="168"/>
      <c r="H386" s="168"/>
    </row>
    <row r="387" spans="2:8" ht="16.5">
      <c r="B387" s="168"/>
      <c r="C387" s="168"/>
      <c r="D387" s="168"/>
      <c r="E387" s="168"/>
      <c r="F387" s="168"/>
      <c r="G387" s="168"/>
      <c r="H387" s="168"/>
    </row>
    <row r="388" spans="2:8" ht="16.5">
      <c r="B388" s="168"/>
      <c r="C388" s="168"/>
      <c r="D388" s="168"/>
      <c r="E388" s="168"/>
      <c r="F388" s="168"/>
      <c r="G388" s="168"/>
      <c r="H388" s="168"/>
    </row>
    <row r="389" spans="2:8" ht="16.5">
      <c r="B389" s="168"/>
      <c r="C389" s="168"/>
      <c r="D389" s="168"/>
      <c r="E389" s="168"/>
      <c r="F389" s="168"/>
      <c r="G389" s="168"/>
      <c r="H389" s="168"/>
    </row>
    <row r="390" spans="2:8" ht="16.5">
      <c r="B390" s="168"/>
      <c r="C390" s="168"/>
      <c r="D390" s="168"/>
      <c r="E390" s="168"/>
      <c r="F390" s="168"/>
      <c r="G390" s="168"/>
      <c r="H390" s="168"/>
    </row>
    <row r="391" spans="2:8" ht="16.5">
      <c r="B391" s="168"/>
      <c r="C391" s="168"/>
      <c r="D391" s="168"/>
      <c r="E391" s="168"/>
      <c r="F391" s="168"/>
      <c r="G391" s="168"/>
      <c r="H391" s="168"/>
    </row>
    <row r="392" spans="2:8" ht="16.5">
      <c r="B392" s="168"/>
      <c r="C392" s="168"/>
      <c r="D392" s="168"/>
      <c r="E392" s="168"/>
      <c r="F392" s="168"/>
      <c r="G392" s="168"/>
      <c r="H392" s="168"/>
    </row>
    <row r="393" spans="2:8" ht="16.5">
      <c r="B393" s="168"/>
      <c r="C393" s="168"/>
      <c r="D393" s="168"/>
      <c r="E393" s="168"/>
      <c r="F393" s="168"/>
      <c r="G393" s="168"/>
      <c r="H393" s="168"/>
    </row>
    <row r="394" spans="2:8" ht="16.5">
      <c r="B394" s="168"/>
      <c r="C394" s="168"/>
      <c r="D394" s="168"/>
      <c r="E394" s="168"/>
      <c r="F394" s="168"/>
      <c r="G394" s="168"/>
      <c r="H394" s="168"/>
    </row>
    <row r="395" spans="2:8" ht="16.5">
      <c r="B395" s="168"/>
      <c r="C395" s="168"/>
      <c r="D395" s="168"/>
      <c r="E395" s="168"/>
      <c r="F395" s="168"/>
      <c r="G395" s="168"/>
      <c r="H395" s="168"/>
    </row>
    <row r="396" spans="2:8" ht="16.5">
      <c r="B396" s="168"/>
      <c r="C396" s="168"/>
      <c r="D396" s="168"/>
      <c r="E396" s="168"/>
      <c r="F396" s="168"/>
      <c r="G396" s="168"/>
      <c r="H396" s="168"/>
    </row>
    <row r="397" spans="2:8" ht="16.5">
      <c r="B397" s="168"/>
      <c r="C397" s="168"/>
      <c r="D397" s="168"/>
      <c r="E397" s="168"/>
      <c r="F397" s="168"/>
      <c r="G397" s="168"/>
      <c r="H397" s="168"/>
    </row>
    <row r="398" spans="2:8" ht="16.5">
      <c r="B398" s="168"/>
      <c r="C398" s="168"/>
      <c r="D398" s="168"/>
      <c r="E398" s="168"/>
      <c r="F398" s="168"/>
      <c r="G398" s="168"/>
      <c r="H398" s="168"/>
    </row>
    <row r="399" spans="2:8" ht="16.5">
      <c r="B399" s="168"/>
      <c r="C399" s="168"/>
      <c r="D399" s="168"/>
      <c r="E399" s="168"/>
      <c r="F399" s="168"/>
      <c r="G399" s="168"/>
      <c r="H399" s="168"/>
    </row>
    <row r="400" spans="2:8" ht="16.5">
      <c r="B400" s="168"/>
      <c r="C400" s="168"/>
      <c r="D400" s="168"/>
      <c r="E400" s="168"/>
      <c r="F400" s="168"/>
      <c r="G400" s="168"/>
      <c r="H400" s="168"/>
    </row>
    <row r="401" spans="2:8" ht="16.5">
      <c r="B401" s="168"/>
      <c r="C401" s="168"/>
      <c r="D401" s="168"/>
      <c r="E401" s="168"/>
      <c r="F401" s="168"/>
      <c r="G401" s="168"/>
      <c r="H401" s="168"/>
    </row>
    <row r="402" spans="2:8" ht="16.5">
      <c r="B402" s="168"/>
      <c r="C402" s="168"/>
      <c r="D402" s="168"/>
      <c r="E402" s="168"/>
      <c r="F402" s="168"/>
      <c r="G402" s="168"/>
      <c r="H402" s="168"/>
    </row>
    <row r="403" spans="2:8" ht="16.5">
      <c r="B403" s="168"/>
      <c r="C403" s="168"/>
      <c r="D403" s="168"/>
      <c r="E403" s="168"/>
      <c r="F403" s="168"/>
      <c r="G403" s="168"/>
      <c r="H403" s="168"/>
    </row>
    <row r="404" spans="2:8" ht="16.5">
      <c r="B404" s="168"/>
      <c r="C404" s="168"/>
      <c r="D404" s="168"/>
      <c r="E404" s="168"/>
      <c r="F404" s="168"/>
      <c r="G404" s="168"/>
      <c r="H404" s="168"/>
    </row>
    <row r="405" spans="2:8" ht="16.5">
      <c r="B405" s="168"/>
      <c r="C405" s="168"/>
      <c r="D405" s="168"/>
      <c r="E405" s="168"/>
      <c r="F405" s="168"/>
      <c r="G405" s="168"/>
      <c r="H405" s="168"/>
    </row>
    <row r="406" spans="2:8" ht="16.5">
      <c r="B406" s="168"/>
      <c r="C406" s="168"/>
      <c r="D406" s="168"/>
      <c r="E406" s="168"/>
      <c r="F406" s="168"/>
      <c r="G406" s="168"/>
      <c r="H406" s="168"/>
    </row>
    <row r="407" spans="2:8" ht="16.5">
      <c r="B407" s="168"/>
      <c r="C407" s="168"/>
      <c r="D407" s="168"/>
      <c r="E407" s="168"/>
      <c r="F407" s="168"/>
      <c r="G407" s="168"/>
      <c r="H407" s="168"/>
    </row>
    <row r="408" spans="2:8" ht="16.5">
      <c r="B408" s="168"/>
      <c r="C408" s="168"/>
      <c r="D408" s="168"/>
      <c r="E408" s="168"/>
      <c r="F408" s="168"/>
      <c r="G408" s="168"/>
      <c r="H408" s="168"/>
    </row>
    <row r="409" spans="2:8" ht="16.5">
      <c r="B409" s="168"/>
      <c r="C409" s="168"/>
      <c r="D409" s="168"/>
      <c r="E409" s="168"/>
      <c r="F409" s="168"/>
      <c r="G409" s="168"/>
      <c r="H409" s="168"/>
    </row>
    <row r="410" spans="2:8" ht="16.5">
      <c r="B410" s="168"/>
      <c r="C410" s="168"/>
      <c r="D410" s="168"/>
      <c r="E410" s="168"/>
      <c r="F410" s="168"/>
      <c r="G410" s="168"/>
      <c r="H410" s="168"/>
    </row>
    <row r="411" spans="2:8" ht="16.5">
      <c r="B411" s="168"/>
      <c r="C411" s="168"/>
      <c r="D411" s="168"/>
      <c r="E411" s="168"/>
      <c r="F411" s="168"/>
      <c r="G411" s="168"/>
      <c r="H411" s="168"/>
    </row>
    <row r="412" spans="2:8" ht="16.5">
      <c r="B412" s="168"/>
      <c r="C412" s="168"/>
      <c r="D412" s="168"/>
      <c r="E412" s="168"/>
      <c r="F412" s="168"/>
      <c r="G412" s="168"/>
      <c r="H412" s="168"/>
    </row>
    <row r="413" spans="2:8" ht="16.5">
      <c r="B413" s="168"/>
      <c r="C413" s="168"/>
      <c r="D413" s="168"/>
      <c r="E413" s="168"/>
      <c r="F413" s="168"/>
      <c r="G413" s="168"/>
      <c r="H413" s="168"/>
    </row>
    <row r="414" spans="2:8" ht="16.5">
      <c r="B414" s="168"/>
      <c r="C414" s="168"/>
      <c r="D414" s="168"/>
      <c r="E414" s="168"/>
      <c r="F414" s="168"/>
      <c r="G414" s="168"/>
      <c r="H414" s="168"/>
    </row>
    <row r="415" spans="2:8" ht="16.5">
      <c r="B415" s="168"/>
      <c r="C415" s="168"/>
      <c r="D415" s="168"/>
      <c r="E415" s="168"/>
      <c r="F415" s="168"/>
      <c r="G415" s="168"/>
      <c r="H415" s="168"/>
    </row>
    <row r="416" spans="2:8" ht="16.5">
      <c r="B416" s="168"/>
      <c r="C416" s="168"/>
      <c r="D416" s="168"/>
      <c r="E416" s="168"/>
      <c r="F416" s="168"/>
      <c r="G416" s="168"/>
      <c r="H416" s="168"/>
    </row>
    <row r="417" spans="2:8" ht="16.5">
      <c r="B417" s="168"/>
      <c r="C417" s="168"/>
      <c r="D417" s="168"/>
      <c r="E417" s="168"/>
      <c r="F417" s="168"/>
      <c r="G417" s="168"/>
      <c r="H417" s="168"/>
    </row>
    <row r="418" spans="2:8" ht="16.5">
      <c r="B418" s="168"/>
      <c r="C418" s="168"/>
      <c r="D418" s="168"/>
      <c r="E418" s="168"/>
      <c r="F418" s="168"/>
      <c r="G418" s="168"/>
      <c r="H418" s="168"/>
    </row>
    <row r="419" spans="2:8" ht="16.5">
      <c r="B419" s="168"/>
      <c r="C419" s="168"/>
      <c r="D419" s="168"/>
      <c r="E419" s="168"/>
      <c r="F419" s="168"/>
      <c r="G419" s="168"/>
      <c r="H419" s="168"/>
    </row>
    <row r="420" spans="2:8" ht="16.5">
      <c r="B420" s="168"/>
      <c r="C420" s="168"/>
      <c r="D420" s="168"/>
      <c r="E420" s="168"/>
      <c r="F420" s="168"/>
      <c r="G420" s="168"/>
      <c r="H420" s="168"/>
    </row>
    <row r="421" spans="2:8" ht="16.5">
      <c r="B421" s="168"/>
      <c r="C421" s="168"/>
      <c r="D421" s="168"/>
      <c r="E421" s="168"/>
      <c r="F421" s="168"/>
      <c r="G421" s="168"/>
      <c r="H421" s="168"/>
    </row>
    <row r="422" spans="2:8" ht="16.5">
      <c r="B422" s="168"/>
      <c r="C422" s="168"/>
      <c r="D422" s="168"/>
      <c r="E422" s="168"/>
      <c r="F422" s="168"/>
      <c r="G422" s="168"/>
      <c r="H422" s="168"/>
    </row>
    <row r="423" spans="2:8" ht="16.5">
      <c r="B423" s="168"/>
      <c r="C423" s="168"/>
      <c r="D423" s="168"/>
      <c r="E423" s="168"/>
      <c r="F423" s="168"/>
      <c r="G423" s="168"/>
      <c r="H423" s="168"/>
    </row>
    <row r="424" spans="2:8" ht="16.5">
      <c r="B424" s="168"/>
      <c r="C424" s="168"/>
      <c r="D424" s="168"/>
      <c r="E424" s="168"/>
      <c r="F424" s="168"/>
      <c r="G424" s="168"/>
      <c r="H424" s="168"/>
    </row>
    <row r="425" spans="2:8" ht="16.5">
      <c r="B425" s="168"/>
      <c r="C425" s="168"/>
      <c r="D425" s="168"/>
      <c r="E425" s="168"/>
      <c r="F425" s="168"/>
      <c r="G425" s="168"/>
      <c r="H425" s="168"/>
    </row>
    <row r="426" spans="2:8" ht="16.5">
      <c r="B426" s="168"/>
      <c r="C426" s="168"/>
      <c r="D426" s="168"/>
      <c r="E426" s="168"/>
      <c r="F426" s="168"/>
      <c r="G426" s="168"/>
      <c r="H426" s="168"/>
    </row>
    <row r="427" spans="2:8" ht="16.5">
      <c r="B427" s="168"/>
      <c r="C427" s="168"/>
      <c r="D427" s="168"/>
      <c r="E427" s="168"/>
      <c r="F427" s="168"/>
      <c r="G427" s="168"/>
      <c r="H427" s="168"/>
    </row>
    <row r="428" spans="2:8" ht="16.5">
      <c r="B428" s="168"/>
      <c r="C428" s="168"/>
      <c r="D428" s="168"/>
      <c r="E428" s="168"/>
      <c r="F428" s="168"/>
      <c r="G428" s="168"/>
      <c r="H428" s="168"/>
    </row>
    <row r="429" spans="2:8" ht="16.5">
      <c r="B429" s="168"/>
      <c r="C429" s="168"/>
      <c r="D429" s="168"/>
      <c r="E429" s="168"/>
      <c r="F429" s="168"/>
      <c r="G429" s="168"/>
      <c r="H429" s="168"/>
    </row>
    <row r="430" spans="2:8" ht="16.5">
      <c r="B430" s="168"/>
      <c r="C430" s="168"/>
      <c r="D430" s="168"/>
      <c r="E430" s="168"/>
      <c r="F430" s="168"/>
      <c r="G430" s="168"/>
      <c r="H430" s="168"/>
    </row>
    <row r="431" spans="2:8" ht="16.5">
      <c r="B431" s="168"/>
      <c r="C431" s="168"/>
      <c r="D431" s="168"/>
      <c r="E431" s="168"/>
      <c r="F431" s="168"/>
      <c r="G431" s="168"/>
      <c r="H431" s="168"/>
    </row>
    <row r="432" spans="2:8" ht="16.5">
      <c r="B432" s="168"/>
      <c r="C432" s="168"/>
      <c r="D432" s="168"/>
      <c r="E432" s="168"/>
      <c r="F432" s="168"/>
      <c r="G432" s="168"/>
      <c r="H432" s="168"/>
    </row>
    <row r="433" spans="2:8" ht="16.5">
      <c r="B433" s="168"/>
      <c r="C433" s="168"/>
      <c r="D433" s="168"/>
      <c r="E433" s="168"/>
      <c r="F433" s="168"/>
      <c r="G433" s="168"/>
      <c r="H433" s="168"/>
    </row>
    <row r="434" spans="2:8" ht="16.5">
      <c r="B434" s="168"/>
      <c r="C434" s="168"/>
      <c r="D434" s="168"/>
      <c r="E434" s="168"/>
      <c r="F434" s="168"/>
      <c r="G434" s="168"/>
      <c r="H434" s="168"/>
    </row>
    <row r="435" spans="2:8" ht="16.5">
      <c r="B435" s="168"/>
      <c r="C435" s="168"/>
      <c r="D435" s="168"/>
      <c r="E435" s="168"/>
      <c r="F435" s="168"/>
      <c r="G435" s="168"/>
      <c r="H435" s="168"/>
    </row>
    <row r="436" spans="2:8" ht="16.5">
      <c r="B436" s="168"/>
      <c r="C436" s="168"/>
      <c r="D436" s="168"/>
      <c r="E436" s="168"/>
      <c r="F436" s="168"/>
      <c r="G436" s="168"/>
      <c r="H436" s="168"/>
    </row>
    <row r="437" spans="2:8" ht="16.5">
      <c r="B437" s="168"/>
      <c r="C437" s="168"/>
      <c r="D437" s="168"/>
      <c r="E437" s="168"/>
      <c r="F437" s="168"/>
      <c r="G437" s="168"/>
      <c r="H437" s="168"/>
    </row>
    <row r="438" spans="2:8" ht="16.5">
      <c r="B438" s="168"/>
      <c r="C438" s="168"/>
      <c r="D438" s="168"/>
      <c r="E438" s="168"/>
      <c r="F438" s="168"/>
      <c r="G438" s="168"/>
      <c r="H438" s="168"/>
    </row>
    <row r="439" spans="2:8" ht="16.5">
      <c r="B439" s="168"/>
      <c r="C439" s="168"/>
      <c r="D439" s="168"/>
      <c r="E439" s="168"/>
      <c r="F439" s="168"/>
      <c r="G439" s="168"/>
      <c r="H439" s="168"/>
    </row>
    <row r="440" spans="2:8" ht="16.5">
      <c r="B440" s="168"/>
      <c r="C440" s="168"/>
      <c r="D440" s="168"/>
      <c r="E440" s="168"/>
      <c r="F440" s="168"/>
      <c r="G440" s="168"/>
      <c r="H440" s="168"/>
    </row>
    <row r="441" spans="2:8" ht="16.5">
      <c r="B441" s="168"/>
      <c r="C441" s="168"/>
      <c r="D441" s="168"/>
      <c r="E441" s="168"/>
      <c r="F441" s="168"/>
      <c r="G441" s="168"/>
      <c r="H441" s="168"/>
    </row>
    <row r="442" spans="2:8" ht="16.5">
      <c r="B442" s="168"/>
      <c r="C442" s="168"/>
      <c r="D442" s="168"/>
      <c r="E442" s="168"/>
      <c r="F442" s="168"/>
      <c r="G442" s="168"/>
      <c r="H442" s="168"/>
    </row>
    <row r="443" spans="2:8" ht="16.5">
      <c r="B443" s="168"/>
      <c r="C443" s="168"/>
      <c r="D443" s="168"/>
      <c r="E443" s="168"/>
      <c r="F443" s="168"/>
      <c r="G443" s="168"/>
      <c r="H443" s="168"/>
    </row>
    <row r="444" spans="2:8" ht="16.5">
      <c r="B444" s="168"/>
      <c r="C444" s="168"/>
      <c r="D444" s="168"/>
      <c r="E444" s="168"/>
      <c r="F444" s="168"/>
      <c r="G444" s="168"/>
      <c r="H444" s="168"/>
    </row>
    <row r="445" spans="2:8" ht="16.5">
      <c r="B445" s="168"/>
      <c r="C445" s="168"/>
      <c r="D445" s="168"/>
      <c r="E445" s="168"/>
      <c r="F445" s="168"/>
      <c r="G445" s="168"/>
      <c r="H445" s="168"/>
    </row>
    <row r="446" spans="2:8" ht="16.5">
      <c r="B446" s="168"/>
      <c r="C446" s="168"/>
      <c r="D446" s="168"/>
      <c r="E446" s="168"/>
      <c r="F446" s="168"/>
      <c r="G446" s="168"/>
      <c r="H446" s="168"/>
    </row>
    <row r="447" spans="2:8" ht="16.5">
      <c r="B447" s="168"/>
      <c r="C447" s="168"/>
      <c r="D447" s="168"/>
      <c r="E447" s="168"/>
      <c r="F447" s="168"/>
      <c r="G447" s="168"/>
      <c r="H447" s="168"/>
    </row>
    <row r="448" spans="2:8" ht="16.5">
      <c r="B448" s="168"/>
      <c r="C448" s="168"/>
      <c r="D448" s="168"/>
      <c r="E448" s="168"/>
      <c r="F448" s="168"/>
      <c r="G448" s="168"/>
      <c r="H448" s="168"/>
    </row>
    <row r="449" spans="2:8" ht="16.5">
      <c r="B449" s="168"/>
      <c r="C449" s="168"/>
      <c r="D449" s="168"/>
      <c r="E449" s="168"/>
      <c r="F449" s="168"/>
      <c r="G449" s="168"/>
      <c r="H449" s="168"/>
    </row>
    <row r="450" spans="2:8" ht="16.5">
      <c r="B450" s="168"/>
      <c r="C450" s="168"/>
      <c r="D450" s="168"/>
      <c r="E450" s="168"/>
      <c r="F450" s="168"/>
      <c r="G450" s="168"/>
      <c r="H450" s="168"/>
    </row>
    <row r="451" spans="2:8" ht="16.5">
      <c r="B451" s="168"/>
      <c r="C451" s="168"/>
      <c r="D451" s="168"/>
      <c r="E451" s="168"/>
      <c r="F451" s="168"/>
      <c r="G451" s="168"/>
      <c r="H451" s="168"/>
    </row>
    <row r="452" spans="2:8" ht="16.5">
      <c r="B452" s="168"/>
      <c r="C452" s="168"/>
      <c r="D452" s="168"/>
      <c r="E452" s="168"/>
      <c r="F452" s="168"/>
      <c r="G452" s="168"/>
      <c r="H452" s="168"/>
    </row>
    <row r="453" spans="2:8" ht="16.5">
      <c r="B453" s="168"/>
      <c r="C453" s="168"/>
      <c r="D453" s="168"/>
      <c r="E453" s="168"/>
      <c r="F453" s="168"/>
      <c r="G453" s="168"/>
      <c r="H453" s="168"/>
    </row>
    <row r="454" spans="2:8" ht="16.5">
      <c r="B454" s="168"/>
      <c r="C454" s="168"/>
      <c r="D454" s="168"/>
      <c r="E454" s="168"/>
      <c r="F454" s="168"/>
      <c r="G454" s="168"/>
      <c r="H454" s="168"/>
    </row>
    <row r="455" spans="2:8" ht="16.5">
      <c r="B455" s="168"/>
      <c r="C455" s="168"/>
      <c r="D455" s="168"/>
      <c r="E455" s="168"/>
      <c r="F455" s="168"/>
      <c r="G455" s="168"/>
      <c r="H455" s="168"/>
    </row>
    <row r="456" spans="2:8" ht="16.5">
      <c r="B456" s="168"/>
      <c r="C456" s="168"/>
      <c r="D456" s="168"/>
      <c r="E456" s="168"/>
      <c r="F456" s="168"/>
      <c r="G456" s="168"/>
      <c r="H456" s="168"/>
    </row>
    <row r="457" spans="2:8" ht="16.5">
      <c r="B457" s="168"/>
      <c r="C457" s="168"/>
      <c r="D457" s="168"/>
      <c r="E457" s="168"/>
      <c r="F457" s="168"/>
      <c r="G457" s="168"/>
      <c r="H457" s="168"/>
    </row>
    <row r="458" spans="2:8" ht="16.5">
      <c r="B458" s="168"/>
      <c r="C458" s="168"/>
      <c r="D458" s="168"/>
      <c r="E458" s="168"/>
      <c r="F458" s="168"/>
      <c r="G458" s="168"/>
      <c r="H458" s="168"/>
    </row>
    <row r="459" spans="2:8" ht="16.5">
      <c r="B459" s="168"/>
      <c r="C459" s="168"/>
      <c r="D459" s="168"/>
      <c r="E459" s="168"/>
      <c r="F459" s="168"/>
      <c r="G459" s="168"/>
      <c r="H459" s="168"/>
    </row>
    <row r="460" spans="2:8" ht="16.5">
      <c r="B460" s="168"/>
      <c r="C460" s="168"/>
      <c r="D460" s="168"/>
      <c r="E460" s="168"/>
      <c r="F460" s="168"/>
      <c r="G460" s="168"/>
      <c r="H460" s="168"/>
    </row>
    <row r="461" spans="2:8" ht="16.5">
      <c r="B461" s="168"/>
      <c r="C461" s="168"/>
      <c r="D461" s="168"/>
      <c r="E461" s="168"/>
      <c r="F461" s="168"/>
      <c r="G461" s="168"/>
      <c r="H461" s="168"/>
    </row>
    <row r="462" spans="2:8" ht="16.5">
      <c r="B462" s="168"/>
      <c r="C462" s="168"/>
      <c r="D462" s="168"/>
      <c r="E462" s="168"/>
      <c r="F462" s="168"/>
      <c r="G462" s="168"/>
      <c r="H462" s="168"/>
    </row>
    <row r="463" spans="2:8" ht="16.5">
      <c r="B463" s="168"/>
      <c r="C463" s="168"/>
      <c r="D463" s="168"/>
      <c r="E463" s="168"/>
      <c r="F463" s="168"/>
      <c r="G463" s="168"/>
      <c r="H463" s="168"/>
    </row>
    <row r="464" spans="2:8" ht="16.5">
      <c r="B464" s="168"/>
      <c r="C464" s="168"/>
      <c r="D464" s="168"/>
      <c r="E464" s="168"/>
      <c r="F464" s="168"/>
      <c r="G464" s="168"/>
      <c r="H464" s="168"/>
    </row>
    <row r="465" spans="2:8" ht="16.5">
      <c r="B465" s="168"/>
      <c r="C465" s="168"/>
      <c r="D465" s="168"/>
      <c r="E465" s="168"/>
      <c r="F465" s="168"/>
      <c r="G465" s="168"/>
      <c r="H465" s="168"/>
    </row>
    <row r="466" spans="2:8" ht="16.5">
      <c r="B466" s="168"/>
      <c r="C466" s="168"/>
      <c r="D466" s="168"/>
      <c r="E466" s="168"/>
      <c r="F466" s="168"/>
      <c r="G466" s="168"/>
      <c r="H466" s="168"/>
    </row>
    <row r="467" spans="2:8" ht="16.5">
      <c r="B467" s="168"/>
      <c r="C467" s="168"/>
      <c r="D467" s="168"/>
      <c r="E467" s="168"/>
      <c r="F467" s="168"/>
      <c r="G467" s="168"/>
      <c r="H467" s="168"/>
    </row>
    <row r="468" spans="2:8" ht="16.5">
      <c r="B468" s="168"/>
      <c r="C468" s="168"/>
      <c r="D468" s="168"/>
      <c r="E468" s="168"/>
      <c r="F468" s="168"/>
      <c r="G468" s="168"/>
      <c r="H468" s="168"/>
    </row>
    <row r="469" spans="2:8" ht="16.5">
      <c r="B469" s="168"/>
      <c r="C469" s="168"/>
      <c r="D469" s="168"/>
      <c r="E469" s="168"/>
      <c r="F469" s="168"/>
      <c r="G469" s="168"/>
      <c r="H469" s="168"/>
    </row>
    <row r="470" spans="2:8" ht="16.5">
      <c r="B470" s="168"/>
      <c r="C470" s="168"/>
      <c r="D470" s="168"/>
      <c r="E470" s="168"/>
      <c r="F470" s="168"/>
      <c r="G470" s="168"/>
      <c r="H470" s="168"/>
    </row>
    <row r="471" spans="2:8" ht="16.5">
      <c r="B471" s="168"/>
      <c r="C471" s="168"/>
      <c r="D471" s="168"/>
      <c r="E471" s="168"/>
      <c r="F471" s="168"/>
      <c r="G471" s="168"/>
      <c r="H471" s="168"/>
    </row>
  </sheetData>
  <sheetProtection/>
  <mergeCells count="12">
    <mergeCell ref="A1:H1"/>
    <mergeCell ref="C2:F2"/>
    <mergeCell ref="F3:G3"/>
    <mergeCell ref="H3:H4"/>
    <mergeCell ref="A3:A4"/>
    <mergeCell ref="C3:C4"/>
    <mergeCell ref="D3:D4"/>
    <mergeCell ref="E3:E4"/>
    <mergeCell ref="A5:A28"/>
    <mergeCell ref="A29:A47"/>
    <mergeCell ref="A48:A65"/>
    <mergeCell ref="A66:A106"/>
  </mergeCells>
  <printOptions horizontalCentered="1" verticalCentered="1"/>
  <pageMargins left="0.7874015748031497" right="0.7874015748031497" top="0.5905511811023623" bottom="0.5905511811023623" header="0" footer="0.31496062992125984"/>
  <pageSetup firstPageNumber="45" useFirstPageNumber="1" horizontalDpi="600" verticalDpi="600" orientation="portrait" pageOrder="overThenDown" paperSize="9" r:id="rId1"/>
  <headerFooter alignWithMargins="0">
    <oddFooter xml:space="preserve">&amp;C&amp;P </oddFooter>
  </headerFooter>
  <rowBreaks count="2" manualBreakCount="2">
    <brk id="28" max="255" man="1"/>
    <brk id="6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9" sqref="C49"/>
    </sheetView>
  </sheetViews>
  <sheetFormatPr defaultColWidth="9.00390625" defaultRowHeight="16.5"/>
  <cols>
    <col min="1" max="1" width="5.25390625" style="53" customWidth="1"/>
    <col min="2" max="2" width="10.625" style="53" customWidth="1"/>
    <col min="3" max="3" width="27.75390625" style="53" customWidth="1"/>
    <col min="4" max="4" width="9.625" style="53" customWidth="1"/>
    <col min="5" max="5" width="10.625" style="53" customWidth="1"/>
    <col min="6" max="7" width="5.12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439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C2" s="674" t="s">
        <v>561</v>
      </c>
      <c r="D2" s="674"/>
      <c r="E2" s="674"/>
      <c r="F2" s="674"/>
      <c r="H2" s="82" t="s">
        <v>99</v>
      </c>
    </row>
    <row r="3" spans="1:8" ht="27" customHeight="1">
      <c r="A3" s="666" t="s">
        <v>161</v>
      </c>
      <c r="B3" s="84" t="s">
        <v>162</v>
      </c>
      <c r="C3" s="667" t="s">
        <v>163</v>
      </c>
      <c r="D3" s="667" t="s">
        <v>74</v>
      </c>
      <c r="E3" s="667" t="s">
        <v>164</v>
      </c>
      <c r="F3" s="664" t="s">
        <v>165</v>
      </c>
      <c r="G3" s="665"/>
      <c r="H3" s="666" t="s">
        <v>166</v>
      </c>
    </row>
    <row r="4" spans="1:8" ht="27" customHeight="1">
      <c r="A4" s="666"/>
      <c r="B4" s="85" t="s">
        <v>96</v>
      </c>
      <c r="C4" s="667"/>
      <c r="D4" s="667"/>
      <c r="E4" s="667"/>
      <c r="F4" s="83" t="s">
        <v>167</v>
      </c>
      <c r="G4" s="83" t="s">
        <v>168</v>
      </c>
      <c r="H4" s="666"/>
    </row>
    <row r="5" spans="1:9" ht="27" customHeight="1">
      <c r="A5" s="668" t="s">
        <v>306</v>
      </c>
      <c r="B5" s="159"/>
      <c r="C5" s="135" t="s">
        <v>169</v>
      </c>
      <c r="D5" s="91"/>
      <c r="E5" s="91"/>
      <c r="F5" s="90"/>
      <c r="G5" s="90"/>
      <c r="H5" s="91"/>
      <c r="I5" s="92"/>
    </row>
    <row r="6" spans="1:9" ht="27" customHeight="1">
      <c r="A6" s="669"/>
      <c r="B6" s="93">
        <f>B7+B8</f>
        <v>142061688</v>
      </c>
      <c r="C6" s="94" t="s">
        <v>47</v>
      </c>
      <c r="D6" s="93">
        <f>D7+D8</f>
        <v>141750000</v>
      </c>
      <c r="E6" s="93">
        <f>E7+E8</f>
        <v>141412347</v>
      </c>
      <c r="F6" s="95"/>
      <c r="G6" s="95"/>
      <c r="H6" s="93">
        <f>E6</f>
        <v>141412347</v>
      </c>
      <c r="I6" s="92"/>
    </row>
    <row r="7" spans="1:9" ht="27" customHeight="1">
      <c r="A7" s="670"/>
      <c r="B7" s="105">
        <v>59061688</v>
      </c>
      <c r="C7" s="94" t="s">
        <v>50</v>
      </c>
      <c r="D7" s="93">
        <v>58750000</v>
      </c>
      <c r="E7" s="93">
        <f>'損益機關'!J10</f>
        <v>58412347</v>
      </c>
      <c r="F7" s="95"/>
      <c r="G7" s="95"/>
      <c r="H7" s="93">
        <f>E7</f>
        <v>58412347</v>
      </c>
      <c r="I7" s="97"/>
    </row>
    <row r="8" spans="1:9" ht="27" customHeight="1">
      <c r="A8" s="670"/>
      <c r="B8" s="96">
        <v>83000000</v>
      </c>
      <c r="C8" s="94" t="s">
        <v>197</v>
      </c>
      <c r="D8" s="93">
        <v>83000000</v>
      </c>
      <c r="E8" s="93">
        <f>'損益機關'!J12</f>
        <v>83000000</v>
      </c>
      <c r="F8" s="95"/>
      <c r="G8" s="95"/>
      <c r="H8" s="93">
        <f>E8</f>
        <v>83000000</v>
      </c>
      <c r="I8" s="97"/>
    </row>
    <row r="9" spans="1:9" ht="27" customHeight="1">
      <c r="A9" s="670"/>
      <c r="B9" s="93">
        <f>B10+B11</f>
        <v>147662911</v>
      </c>
      <c r="C9" s="94" t="s">
        <v>52</v>
      </c>
      <c r="D9" s="93">
        <f>D10+D11</f>
        <v>180500000</v>
      </c>
      <c r="E9" s="93">
        <f>E10+E11</f>
        <v>153234316</v>
      </c>
      <c r="F9" s="95"/>
      <c r="G9" s="95"/>
      <c r="H9" s="93">
        <f aca="true" t="shared" si="0" ref="H9:H16">E9</f>
        <v>153234316</v>
      </c>
      <c r="I9" s="97"/>
    </row>
    <row r="10" spans="1:9" ht="27" customHeight="1">
      <c r="A10" s="670"/>
      <c r="B10" s="96">
        <v>147662911</v>
      </c>
      <c r="C10" s="94" t="s">
        <v>54</v>
      </c>
      <c r="D10" s="93">
        <v>180500000</v>
      </c>
      <c r="E10" s="93">
        <f>'損益機關'!J17</f>
        <v>153234316</v>
      </c>
      <c r="F10" s="95"/>
      <c r="G10" s="95"/>
      <c r="H10" s="93">
        <f t="shared" si="0"/>
        <v>153234316</v>
      </c>
      <c r="I10" s="97"/>
    </row>
    <row r="11" spans="1:9" ht="27" customHeight="1">
      <c r="A11" s="670"/>
      <c r="B11" s="108">
        <v>0</v>
      </c>
      <c r="C11" s="169" t="s">
        <v>482</v>
      </c>
      <c r="D11" s="108">
        <v>0</v>
      </c>
      <c r="E11" s="108">
        <f>'損益機關'!J19</f>
        <v>0</v>
      </c>
      <c r="F11" s="109"/>
      <c r="G11" s="109"/>
      <c r="H11" s="108">
        <f t="shared" si="0"/>
        <v>0</v>
      </c>
      <c r="I11" s="97"/>
    </row>
    <row r="12" spans="1:9" ht="27" customHeight="1">
      <c r="A12" s="670"/>
      <c r="B12" s="93">
        <f>B6-B9</f>
        <v>-5601223</v>
      </c>
      <c r="C12" s="94" t="s">
        <v>170</v>
      </c>
      <c r="D12" s="93">
        <f>D6-D9</f>
        <v>-38750000</v>
      </c>
      <c r="E12" s="93">
        <f>E6-E9</f>
        <v>-11821969</v>
      </c>
      <c r="F12" s="95"/>
      <c r="G12" s="95"/>
      <c r="H12" s="93">
        <f t="shared" si="0"/>
        <v>-11821969</v>
      </c>
      <c r="I12" s="97"/>
    </row>
    <row r="13" spans="1:9" ht="27" customHeight="1">
      <c r="A13" s="670"/>
      <c r="B13" s="93">
        <f>SUM(B14:B16)</f>
        <v>60376858</v>
      </c>
      <c r="C13" s="94" t="s">
        <v>247</v>
      </c>
      <c r="D13" s="93">
        <f>SUM(D14:D16)</f>
        <v>69736000</v>
      </c>
      <c r="E13" s="93">
        <f>SUM(E14:E16)</f>
        <v>56112650</v>
      </c>
      <c r="F13" s="95"/>
      <c r="G13" s="95"/>
      <c r="H13" s="93">
        <f t="shared" si="0"/>
        <v>56112650</v>
      </c>
      <c r="I13" s="97"/>
    </row>
    <row r="14" spans="1:9" ht="27" customHeight="1">
      <c r="A14" s="670"/>
      <c r="B14" s="105">
        <v>45052689</v>
      </c>
      <c r="C14" s="94" t="s">
        <v>234</v>
      </c>
      <c r="D14" s="93">
        <v>52426000</v>
      </c>
      <c r="E14" s="93">
        <f>'損益機關'!J23</f>
        <v>41656251</v>
      </c>
      <c r="F14" s="95"/>
      <c r="G14" s="95"/>
      <c r="H14" s="93">
        <f t="shared" si="0"/>
        <v>41656251</v>
      </c>
      <c r="I14" s="97"/>
    </row>
    <row r="15" spans="1:9" ht="27" customHeight="1">
      <c r="A15" s="670"/>
      <c r="B15" s="105">
        <v>15324169</v>
      </c>
      <c r="C15" s="94" t="s">
        <v>172</v>
      </c>
      <c r="D15" s="93">
        <v>17310000</v>
      </c>
      <c r="E15" s="93">
        <f>'損益機關'!J24</f>
        <v>14456399</v>
      </c>
      <c r="F15" s="95"/>
      <c r="G15" s="95"/>
      <c r="H15" s="93">
        <f t="shared" si="0"/>
        <v>14456399</v>
      </c>
      <c r="I15" s="97"/>
    </row>
    <row r="16" spans="1:9" ht="27" customHeight="1">
      <c r="A16" s="670"/>
      <c r="B16" s="107">
        <v>0</v>
      </c>
      <c r="C16" s="94" t="s">
        <v>210</v>
      </c>
      <c r="D16" s="107">
        <v>0</v>
      </c>
      <c r="E16" s="107">
        <f>'損益機關'!J25</f>
        <v>0</v>
      </c>
      <c r="F16" s="112"/>
      <c r="G16" s="112"/>
      <c r="H16" s="107">
        <f t="shared" si="0"/>
        <v>0</v>
      </c>
      <c r="I16" s="97"/>
    </row>
    <row r="17" spans="1:9" ht="27" customHeight="1">
      <c r="A17" s="670"/>
      <c r="B17" s="93">
        <f>B12-B13</f>
        <v>-65978081</v>
      </c>
      <c r="C17" s="94" t="s">
        <v>248</v>
      </c>
      <c r="D17" s="93">
        <f>D12-D13</f>
        <v>-108486000</v>
      </c>
      <c r="E17" s="93">
        <f>E12-E13</f>
        <v>-67934619</v>
      </c>
      <c r="F17" s="95"/>
      <c r="G17" s="95"/>
      <c r="H17" s="93">
        <f>E17</f>
        <v>-67934619</v>
      </c>
      <c r="I17" s="97"/>
    </row>
    <row r="18" spans="1:9" ht="27" customHeight="1">
      <c r="A18" s="670"/>
      <c r="B18" s="93"/>
      <c r="C18" s="94" t="s">
        <v>249</v>
      </c>
      <c r="D18" s="93"/>
      <c r="E18" s="93"/>
      <c r="F18" s="95"/>
      <c r="G18" s="95"/>
      <c r="H18" s="93"/>
      <c r="I18" s="97"/>
    </row>
    <row r="19" spans="1:9" ht="27" customHeight="1">
      <c r="A19" s="670"/>
      <c r="B19" s="93">
        <f>B20+B21</f>
        <v>38485475</v>
      </c>
      <c r="C19" s="94" t="s">
        <v>174</v>
      </c>
      <c r="D19" s="93">
        <f>D20+D21</f>
        <v>37800000</v>
      </c>
      <c r="E19" s="93">
        <f>E20+E21</f>
        <v>32241714</v>
      </c>
      <c r="F19" s="95"/>
      <c r="G19" s="95"/>
      <c r="H19" s="93">
        <f aca="true" t="shared" si="1" ref="H19:H28">E19</f>
        <v>32241714</v>
      </c>
      <c r="I19" s="98"/>
    </row>
    <row r="20" spans="1:9" ht="27" customHeight="1">
      <c r="A20" s="670"/>
      <c r="B20" s="105">
        <v>5632013</v>
      </c>
      <c r="C20" s="94" t="s">
        <v>61</v>
      </c>
      <c r="D20" s="93">
        <v>5800000</v>
      </c>
      <c r="E20" s="93">
        <f>'損益機關'!J28</f>
        <v>6091686</v>
      </c>
      <c r="F20" s="95"/>
      <c r="G20" s="95"/>
      <c r="H20" s="93">
        <f t="shared" si="1"/>
        <v>6091686</v>
      </c>
      <c r="I20" s="97"/>
    </row>
    <row r="21" spans="1:9" ht="27" customHeight="1">
      <c r="A21" s="670"/>
      <c r="B21" s="105">
        <v>32853462</v>
      </c>
      <c r="C21" s="94" t="s">
        <v>62</v>
      </c>
      <c r="D21" s="93">
        <v>32000000</v>
      </c>
      <c r="E21" s="93">
        <f>'損益機關'!J29</f>
        <v>26150028</v>
      </c>
      <c r="F21" s="95"/>
      <c r="G21" s="95"/>
      <c r="H21" s="93">
        <f t="shared" si="1"/>
        <v>26150028</v>
      </c>
      <c r="I21" s="97"/>
    </row>
    <row r="22" spans="1:9" ht="27" customHeight="1">
      <c r="A22" s="670"/>
      <c r="B22" s="93">
        <f>SUM(B23:B24)</f>
        <v>248143</v>
      </c>
      <c r="C22" s="94" t="s">
        <v>63</v>
      </c>
      <c r="D22" s="93">
        <f>SUM(D23:D24)</f>
        <v>500000</v>
      </c>
      <c r="E22" s="93">
        <f>SUM(E23:E24)</f>
        <v>310911</v>
      </c>
      <c r="F22" s="95"/>
      <c r="G22" s="95"/>
      <c r="H22" s="93">
        <f t="shared" si="1"/>
        <v>310911</v>
      </c>
      <c r="I22" s="97"/>
    </row>
    <row r="23" spans="1:9" ht="27" customHeight="1">
      <c r="A23" s="670"/>
      <c r="B23" s="107">
        <v>0</v>
      </c>
      <c r="C23" s="161" t="s">
        <v>211</v>
      </c>
      <c r="D23" s="107">
        <v>0</v>
      </c>
      <c r="E23" s="107">
        <f>'損益機關'!J31</f>
        <v>0</v>
      </c>
      <c r="F23" s="112"/>
      <c r="G23" s="112"/>
      <c r="H23" s="107">
        <f t="shared" si="1"/>
        <v>0</v>
      </c>
      <c r="I23" s="97"/>
    </row>
    <row r="24" spans="1:9" ht="27" customHeight="1">
      <c r="A24" s="670"/>
      <c r="B24" s="105">
        <v>248143</v>
      </c>
      <c r="C24" s="94" t="s">
        <v>64</v>
      </c>
      <c r="D24" s="93">
        <v>500000</v>
      </c>
      <c r="E24" s="93">
        <f>'損益機關'!J32</f>
        <v>310911</v>
      </c>
      <c r="F24" s="95"/>
      <c r="G24" s="95"/>
      <c r="H24" s="93">
        <f t="shared" si="1"/>
        <v>310911</v>
      </c>
      <c r="I24" s="97"/>
    </row>
    <row r="25" spans="1:9" ht="27" customHeight="1">
      <c r="A25" s="670"/>
      <c r="B25" s="93">
        <f>B19-B22</f>
        <v>38237332</v>
      </c>
      <c r="C25" s="94" t="s">
        <v>173</v>
      </c>
      <c r="D25" s="93">
        <f>D19-D22</f>
        <v>37300000</v>
      </c>
      <c r="E25" s="93">
        <f>E19-E22</f>
        <v>31930803</v>
      </c>
      <c r="F25" s="95"/>
      <c r="G25" s="95"/>
      <c r="H25" s="93">
        <f t="shared" si="1"/>
        <v>31930803</v>
      </c>
      <c r="I25" s="97"/>
    </row>
    <row r="26" spans="1:9" ht="27" customHeight="1">
      <c r="A26" s="670"/>
      <c r="B26" s="93">
        <f>B25+B17</f>
        <v>-27740749</v>
      </c>
      <c r="C26" s="94" t="s">
        <v>65</v>
      </c>
      <c r="D26" s="93">
        <f>D25+D17</f>
        <v>-71186000</v>
      </c>
      <c r="E26" s="93">
        <f>E25+E17</f>
        <v>-36003816</v>
      </c>
      <c r="F26" s="95"/>
      <c r="G26" s="95"/>
      <c r="H26" s="93">
        <f t="shared" si="1"/>
        <v>-36003816</v>
      </c>
      <c r="I26" s="97"/>
    </row>
    <row r="27" spans="1:9" ht="27" customHeight="1">
      <c r="A27" s="670"/>
      <c r="B27" s="108">
        <v>0</v>
      </c>
      <c r="C27" s="169" t="s">
        <v>175</v>
      </c>
      <c r="D27" s="108">
        <v>0</v>
      </c>
      <c r="E27" s="108">
        <f>'損益機關'!J35</f>
        <v>0</v>
      </c>
      <c r="F27" s="109"/>
      <c r="G27" s="109"/>
      <c r="H27" s="108">
        <f t="shared" si="1"/>
        <v>0</v>
      </c>
      <c r="I27" s="97"/>
    </row>
    <row r="28" spans="1:9" ht="27" customHeight="1">
      <c r="A28" s="671"/>
      <c r="B28" s="99">
        <f>B26-B27</f>
        <v>-27740749</v>
      </c>
      <c r="C28" s="100" t="s">
        <v>66</v>
      </c>
      <c r="D28" s="99">
        <f>D26-D27</f>
        <v>-71186000</v>
      </c>
      <c r="E28" s="99">
        <f>E26-E27</f>
        <v>-36003816</v>
      </c>
      <c r="F28" s="101"/>
      <c r="G28" s="101"/>
      <c r="H28" s="99">
        <f t="shared" si="1"/>
        <v>-36003816</v>
      </c>
      <c r="I28" s="97"/>
    </row>
    <row r="29" spans="1:9" ht="16.5" customHeight="1">
      <c r="A29" s="668" t="s">
        <v>307</v>
      </c>
      <c r="B29" s="93">
        <f>SUM(B30:B32)</f>
        <v>240995614</v>
      </c>
      <c r="C29" s="103" t="s">
        <v>216</v>
      </c>
      <c r="D29" s="108">
        <v>0</v>
      </c>
      <c r="E29" s="107">
        <f>SUM(E30:E32)</f>
        <v>0</v>
      </c>
      <c r="F29" s="160"/>
      <c r="G29" s="160"/>
      <c r="H29" s="107">
        <f>E29</f>
        <v>0</v>
      </c>
      <c r="I29" s="97"/>
    </row>
    <row r="30" spans="1:9" ht="16.5" customHeight="1">
      <c r="A30" s="669"/>
      <c r="B30" s="108">
        <v>0</v>
      </c>
      <c r="C30" s="94" t="s">
        <v>565</v>
      </c>
      <c r="D30" s="108">
        <v>0</v>
      </c>
      <c r="E30" s="107">
        <v>0</v>
      </c>
      <c r="F30" s="112"/>
      <c r="G30" s="112"/>
      <c r="H30" s="107">
        <f aca="true" t="shared" si="2" ref="H30:H36">E30</f>
        <v>0</v>
      </c>
      <c r="I30" s="97"/>
    </row>
    <row r="31" spans="1:9" ht="16.5" customHeight="1">
      <c r="A31" s="669"/>
      <c r="B31" s="108">
        <v>0</v>
      </c>
      <c r="C31" s="94" t="s">
        <v>177</v>
      </c>
      <c r="D31" s="108">
        <v>0</v>
      </c>
      <c r="E31" s="108">
        <v>0</v>
      </c>
      <c r="F31" s="95"/>
      <c r="G31" s="95"/>
      <c r="H31" s="108">
        <f t="shared" si="2"/>
        <v>0</v>
      </c>
      <c r="I31" s="97"/>
    </row>
    <row r="32" spans="1:9" ht="16.5" customHeight="1">
      <c r="A32" s="669"/>
      <c r="B32" s="93">
        <v>240995614</v>
      </c>
      <c r="C32" s="94" t="s">
        <v>547</v>
      </c>
      <c r="D32" s="108">
        <v>0</v>
      </c>
      <c r="E32" s="107">
        <f>'盈虧撥補'!J10</f>
        <v>0</v>
      </c>
      <c r="F32" s="95"/>
      <c r="G32" s="95"/>
      <c r="H32" s="107">
        <f t="shared" si="2"/>
        <v>0</v>
      </c>
      <c r="I32" s="97"/>
    </row>
    <row r="33" spans="1:9" ht="16.5" customHeight="1">
      <c r="A33" s="669"/>
      <c r="B33" s="93">
        <f>B34</f>
        <v>240995614</v>
      </c>
      <c r="C33" s="106" t="s">
        <v>179</v>
      </c>
      <c r="D33" s="108">
        <v>0</v>
      </c>
      <c r="E33" s="107">
        <f>E34</f>
        <v>0</v>
      </c>
      <c r="F33" s="112"/>
      <c r="G33" s="112"/>
      <c r="H33" s="107">
        <f t="shared" si="2"/>
        <v>0</v>
      </c>
      <c r="I33" s="97"/>
    </row>
    <row r="34" spans="1:9" ht="16.5" customHeight="1">
      <c r="A34" s="669"/>
      <c r="B34" s="93">
        <f>SUM(B35:B36)</f>
        <v>240995614</v>
      </c>
      <c r="C34" s="106" t="s">
        <v>214</v>
      </c>
      <c r="D34" s="108">
        <v>0</v>
      </c>
      <c r="E34" s="107">
        <f>SUM(E35:E36)</f>
        <v>0</v>
      </c>
      <c r="F34" s="112"/>
      <c r="G34" s="112"/>
      <c r="H34" s="107">
        <f t="shared" si="2"/>
        <v>0</v>
      </c>
      <c r="I34" s="97"/>
    </row>
    <row r="35" spans="1:9" ht="16.5" customHeight="1">
      <c r="A35" s="670"/>
      <c r="B35" s="93">
        <v>240995614</v>
      </c>
      <c r="C35" s="106" t="s">
        <v>407</v>
      </c>
      <c r="D35" s="108">
        <v>0</v>
      </c>
      <c r="E35" s="107">
        <f>'盈虧撥補'!J19</f>
        <v>0</v>
      </c>
      <c r="F35" s="95"/>
      <c r="G35" s="95"/>
      <c r="H35" s="107">
        <f t="shared" si="2"/>
        <v>0</v>
      </c>
      <c r="I35" s="97"/>
    </row>
    <row r="36" spans="1:9" ht="16.5" customHeight="1">
      <c r="A36" s="670"/>
      <c r="B36" s="108">
        <v>0</v>
      </c>
      <c r="C36" s="106" t="s">
        <v>215</v>
      </c>
      <c r="D36" s="108">
        <v>0</v>
      </c>
      <c r="E36" s="108">
        <v>0</v>
      </c>
      <c r="F36" s="95"/>
      <c r="G36" s="95"/>
      <c r="H36" s="108">
        <f t="shared" si="2"/>
        <v>0</v>
      </c>
      <c r="I36" s="97"/>
    </row>
    <row r="37" spans="1:9" ht="16.5" customHeight="1">
      <c r="A37" s="670"/>
      <c r="B37" s="93">
        <f>SUM(B38:B39)</f>
        <v>603345576</v>
      </c>
      <c r="C37" s="94" t="s">
        <v>23</v>
      </c>
      <c r="D37" s="171">
        <f>SUM(D38:D39)</f>
        <v>511934000</v>
      </c>
      <c r="E37" s="93">
        <f>SUM(E38:E39)</f>
        <v>398353778</v>
      </c>
      <c r="F37" s="95"/>
      <c r="G37" s="95"/>
      <c r="H37" s="93">
        <f aca="true" t="shared" si="3" ref="H37:H48">E37</f>
        <v>398353778</v>
      </c>
      <c r="I37" s="97"/>
    </row>
    <row r="38" spans="1:9" ht="16.5" customHeight="1">
      <c r="A38" s="670"/>
      <c r="B38" s="105">
        <v>27740749</v>
      </c>
      <c r="C38" s="94" t="s">
        <v>24</v>
      </c>
      <c r="D38" s="171">
        <v>71186000</v>
      </c>
      <c r="E38" s="93">
        <f>'盈虧撥補'!J26</f>
        <v>36003816</v>
      </c>
      <c r="F38" s="95"/>
      <c r="G38" s="95"/>
      <c r="H38" s="93">
        <f t="shared" si="3"/>
        <v>36003816</v>
      </c>
      <c r="I38" s="97"/>
    </row>
    <row r="39" spans="1:9" ht="16.5" customHeight="1">
      <c r="A39" s="670"/>
      <c r="B39" s="105">
        <v>575604827</v>
      </c>
      <c r="C39" s="94" t="s">
        <v>25</v>
      </c>
      <c r="D39" s="171">
        <v>440748000</v>
      </c>
      <c r="E39" s="93">
        <f>'盈虧撥補'!J27</f>
        <v>362349962</v>
      </c>
      <c r="F39" s="95"/>
      <c r="G39" s="95"/>
      <c r="H39" s="93">
        <f t="shared" si="3"/>
        <v>362349962</v>
      </c>
      <c r="I39" s="97"/>
    </row>
    <row r="40" spans="1:9" ht="16.5" customHeight="1">
      <c r="A40" s="670"/>
      <c r="B40" s="93">
        <f>SUM(B41:B43)</f>
        <v>603345576</v>
      </c>
      <c r="C40" s="94" t="s">
        <v>67</v>
      </c>
      <c r="D40" s="171">
        <f>SUM(D41:D43)</f>
        <v>511934000</v>
      </c>
      <c r="E40" s="93">
        <f>SUM(E41:E43)</f>
        <v>398353778</v>
      </c>
      <c r="F40" s="95"/>
      <c r="G40" s="95"/>
      <c r="H40" s="93">
        <f t="shared" si="3"/>
        <v>398353778</v>
      </c>
      <c r="I40" s="97"/>
    </row>
    <row r="41" spans="1:9" ht="16.5" customHeight="1">
      <c r="A41" s="670"/>
      <c r="B41" s="107">
        <v>0</v>
      </c>
      <c r="C41" s="94" t="s">
        <v>27</v>
      </c>
      <c r="D41" s="108">
        <v>0</v>
      </c>
      <c r="E41" s="108">
        <v>0</v>
      </c>
      <c r="F41" s="109"/>
      <c r="G41" s="109"/>
      <c r="H41" s="108">
        <f t="shared" si="3"/>
        <v>0</v>
      </c>
      <c r="I41" s="97"/>
    </row>
    <row r="42" spans="1:9" ht="16.5" customHeight="1">
      <c r="A42" s="670"/>
      <c r="B42" s="107">
        <v>0</v>
      </c>
      <c r="C42" s="94" t="s">
        <v>28</v>
      </c>
      <c r="D42" s="171">
        <v>60000000</v>
      </c>
      <c r="E42" s="93">
        <f>'盈虧撥補'!J31</f>
        <v>60000000</v>
      </c>
      <c r="F42" s="109"/>
      <c r="G42" s="109"/>
      <c r="H42" s="108">
        <f t="shared" si="3"/>
        <v>60000000</v>
      </c>
      <c r="I42" s="97"/>
    </row>
    <row r="43" spans="1:9" ht="16.5" customHeight="1">
      <c r="A43" s="670"/>
      <c r="B43" s="93">
        <f>SUM(B44:B48)</f>
        <v>603345576</v>
      </c>
      <c r="C43" s="94" t="s">
        <v>252</v>
      </c>
      <c r="D43" s="171">
        <v>451934000</v>
      </c>
      <c r="E43" s="93">
        <f>SUM(E44:E48)</f>
        <v>338353778</v>
      </c>
      <c r="F43" s="95"/>
      <c r="G43" s="95"/>
      <c r="H43" s="93">
        <f t="shared" si="3"/>
        <v>338353778</v>
      </c>
      <c r="I43" s="97"/>
    </row>
    <row r="44" spans="1:9" ht="16.5" customHeight="1">
      <c r="A44" s="670"/>
      <c r="B44" s="107">
        <v>0</v>
      </c>
      <c r="C44" s="94" t="s">
        <v>29</v>
      </c>
      <c r="D44" s="107">
        <f>'盈虧撥補'!I33</f>
        <v>0</v>
      </c>
      <c r="E44" s="107">
        <f>'盈虧撥補'!J33</f>
        <v>0</v>
      </c>
      <c r="F44" s="112"/>
      <c r="G44" s="112"/>
      <c r="H44" s="108">
        <f t="shared" si="3"/>
        <v>0</v>
      </c>
      <c r="I44" s="97"/>
    </row>
    <row r="45" spans="1:9" ht="16.5" customHeight="1">
      <c r="A45" s="670"/>
      <c r="B45" s="107">
        <v>0</v>
      </c>
      <c r="C45" s="94" t="s">
        <v>30</v>
      </c>
      <c r="D45" s="107">
        <f>'盈虧撥補'!I34</f>
        <v>0</v>
      </c>
      <c r="E45" s="107">
        <f>'盈虧撥補'!J34</f>
        <v>0</v>
      </c>
      <c r="F45" s="112"/>
      <c r="G45" s="112"/>
      <c r="H45" s="108">
        <f t="shared" si="3"/>
        <v>0</v>
      </c>
      <c r="I45" s="97"/>
    </row>
    <row r="46" spans="1:9" ht="16.5" customHeight="1">
      <c r="A46" s="670"/>
      <c r="B46" s="107">
        <v>0</v>
      </c>
      <c r="C46" s="94" t="s">
        <v>31</v>
      </c>
      <c r="D46" s="107">
        <f>'盈虧撥補'!I35</f>
        <v>0</v>
      </c>
      <c r="E46" s="107">
        <f>'盈虧撥補'!J35</f>
        <v>0</v>
      </c>
      <c r="F46" s="112"/>
      <c r="G46" s="112"/>
      <c r="H46" s="108">
        <f t="shared" si="3"/>
        <v>0</v>
      </c>
      <c r="I46" s="97"/>
    </row>
    <row r="47" spans="1:9" ht="16.5" customHeight="1">
      <c r="A47" s="670"/>
      <c r="B47" s="107">
        <v>240995614</v>
      </c>
      <c r="C47" s="94" t="s">
        <v>32</v>
      </c>
      <c r="D47" s="107">
        <f>'盈虧撥補'!I36</f>
        <v>0</v>
      </c>
      <c r="E47" s="107">
        <f>'盈虧撥補'!J36</f>
        <v>0</v>
      </c>
      <c r="F47" s="112"/>
      <c r="G47" s="112"/>
      <c r="H47" s="107">
        <f t="shared" si="3"/>
        <v>0</v>
      </c>
      <c r="I47" s="97"/>
    </row>
    <row r="48" spans="1:9" ht="16.5" customHeight="1">
      <c r="A48" s="670"/>
      <c r="B48" s="162">
        <v>362349962</v>
      </c>
      <c r="C48" s="94" t="s">
        <v>33</v>
      </c>
      <c r="D48" s="171">
        <v>451934000</v>
      </c>
      <c r="E48" s="93">
        <f>'盈虧撥補'!J37</f>
        <v>338353778</v>
      </c>
      <c r="F48" s="95"/>
      <c r="G48" s="95"/>
      <c r="H48" s="99">
        <f t="shared" si="3"/>
        <v>338353778</v>
      </c>
      <c r="I48" s="97"/>
    </row>
    <row r="49" spans="1:9" ht="16.5" customHeight="1">
      <c r="A49" s="668" t="s">
        <v>308</v>
      </c>
      <c r="B49" s="102"/>
      <c r="C49" s="172" t="s">
        <v>180</v>
      </c>
      <c r="D49" s="170"/>
      <c r="E49" s="102"/>
      <c r="F49" s="104"/>
      <c r="G49" s="104"/>
      <c r="H49" s="93"/>
      <c r="I49" s="97"/>
    </row>
    <row r="50" spans="1:9" ht="16.5" customHeight="1">
      <c r="A50" s="672"/>
      <c r="B50" s="96">
        <v>-27740749</v>
      </c>
      <c r="C50" s="173" t="s">
        <v>217</v>
      </c>
      <c r="D50" s="93">
        <v>-71186000</v>
      </c>
      <c r="E50" s="93">
        <f>'現金機關'!F7</f>
        <v>-36003816</v>
      </c>
      <c r="F50" s="95"/>
      <c r="G50" s="95"/>
      <c r="H50" s="93">
        <f aca="true" t="shared" si="4" ref="H50:H56">E50</f>
        <v>-36003816</v>
      </c>
      <c r="I50" s="97"/>
    </row>
    <row r="51" spans="1:9" ht="16.5" customHeight="1">
      <c r="A51" s="672"/>
      <c r="B51" s="96">
        <v>-116903778</v>
      </c>
      <c r="C51" s="111" t="s">
        <v>218</v>
      </c>
      <c r="D51" s="171">
        <v>69074000</v>
      </c>
      <c r="E51" s="93">
        <f>'現金機關'!F8</f>
        <v>13096551</v>
      </c>
      <c r="F51" s="95"/>
      <c r="G51" s="95"/>
      <c r="H51" s="93">
        <f t="shared" si="4"/>
        <v>13096551</v>
      </c>
      <c r="I51" s="97"/>
    </row>
    <row r="52" spans="1:9" ht="16.5" customHeight="1">
      <c r="A52" s="672"/>
      <c r="B52" s="93">
        <f>B51+B50</f>
        <v>-144644527</v>
      </c>
      <c r="C52" s="111" t="s">
        <v>321</v>
      </c>
      <c r="D52" s="93">
        <f>D51+D50</f>
        <v>-2112000</v>
      </c>
      <c r="E52" s="93">
        <f>E51+E50</f>
        <v>-22907265</v>
      </c>
      <c r="F52" s="95"/>
      <c r="G52" s="95"/>
      <c r="H52" s="93">
        <f t="shared" si="4"/>
        <v>-22907265</v>
      </c>
      <c r="I52" s="97"/>
    </row>
    <row r="53" spans="1:9" ht="16.5" customHeight="1">
      <c r="A53" s="672"/>
      <c r="B53" s="93"/>
      <c r="C53" s="111" t="s">
        <v>1</v>
      </c>
      <c r="D53" s="107">
        <f>'盈虧撥補'!I42</f>
        <v>0</v>
      </c>
      <c r="E53" s="108">
        <f>'現金機關'!F24</f>
        <v>0</v>
      </c>
      <c r="F53" s="95"/>
      <c r="G53" s="95"/>
      <c r="H53" s="108">
        <f t="shared" si="4"/>
        <v>0</v>
      </c>
      <c r="I53" s="97"/>
    </row>
    <row r="54" spans="1:9" ht="16.5" customHeight="1">
      <c r="A54" s="672"/>
      <c r="B54" s="108">
        <v>0</v>
      </c>
      <c r="C54" s="111" t="s">
        <v>232</v>
      </c>
      <c r="D54" s="107">
        <f>'盈虧撥補'!I43</f>
        <v>0</v>
      </c>
      <c r="E54" s="108">
        <f>'現金機關'!F25</f>
        <v>0</v>
      </c>
      <c r="F54" s="109"/>
      <c r="G54" s="109"/>
      <c r="H54" s="108">
        <f t="shared" si="4"/>
        <v>0</v>
      </c>
      <c r="I54" s="97"/>
    </row>
    <row r="55" spans="1:9" ht="16.5" customHeight="1">
      <c r="A55" s="672"/>
      <c r="B55" s="113">
        <v>-100000</v>
      </c>
      <c r="C55" s="111" t="s">
        <v>219</v>
      </c>
      <c r="D55" s="107">
        <f>'盈虧撥補'!I44</f>
        <v>0</v>
      </c>
      <c r="E55" s="107">
        <f>'盈虧撥補'!J44</f>
        <v>0</v>
      </c>
      <c r="F55" s="95"/>
      <c r="G55" s="95"/>
      <c r="H55" s="108">
        <f t="shared" si="4"/>
        <v>0</v>
      </c>
      <c r="I55" s="97"/>
    </row>
    <row r="56" spans="1:9" ht="16.5" customHeight="1">
      <c r="A56" s="672"/>
      <c r="B56" s="108">
        <v>0</v>
      </c>
      <c r="C56" s="111" t="s">
        <v>231</v>
      </c>
      <c r="D56" s="107">
        <f>'盈虧撥補'!I45</f>
        <v>0</v>
      </c>
      <c r="E56" s="108">
        <f>'現金機關'!F22</f>
        <v>0</v>
      </c>
      <c r="F56" s="109"/>
      <c r="G56" s="109"/>
      <c r="H56" s="108">
        <f t="shared" si="4"/>
        <v>0</v>
      </c>
      <c r="I56" s="97"/>
    </row>
    <row r="57" spans="1:9" ht="16.5" customHeight="1">
      <c r="A57" s="672"/>
      <c r="B57" s="113">
        <v>-527064</v>
      </c>
      <c r="C57" s="111" t="s">
        <v>221</v>
      </c>
      <c r="D57" s="93">
        <v>-51495000</v>
      </c>
      <c r="E57" s="93">
        <f>'現金機關'!F26</f>
        <v>-53500421</v>
      </c>
      <c r="F57" s="95"/>
      <c r="G57" s="95"/>
      <c r="H57" s="93">
        <f aca="true" t="shared" si="5" ref="H57:H66">E57</f>
        <v>-53500421</v>
      </c>
      <c r="I57" s="97"/>
    </row>
    <row r="58" spans="1:9" ht="16.5" customHeight="1">
      <c r="A58" s="672"/>
      <c r="B58" s="93">
        <f>SUM(B54:B57)</f>
        <v>-627064</v>
      </c>
      <c r="C58" s="111" t="s">
        <v>222</v>
      </c>
      <c r="D58" s="93">
        <f>SUM(D54:D57)</f>
        <v>-51495000</v>
      </c>
      <c r="E58" s="93">
        <f>SUM(E54:E57)</f>
        <v>-53500421</v>
      </c>
      <c r="F58" s="95"/>
      <c r="G58" s="95"/>
      <c r="H58" s="93">
        <f t="shared" si="5"/>
        <v>-53500421</v>
      </c>
      <c r="I58" s="97"/>
    </row>
    <row r="59" spans="1:9" ht="16.5" customHeight="1">
      <c r="A59" s="672"/>
      <c r="B59" s="93" t="s">
        <v>139</v>
      </c>
      <c r="C59" s="111" t="s">
        <v>181</v>
      </c>
      <c r="D59" s="171" t="s">
        <v>139</v>
      </c>
      <c r="E59" s="93" t="s">
        <v>139</v>
      </c>
      <c r="F59" s="95"/>
      <c r="G59" s="95"/>
      <c r="H59" s="93" t="str">
        <f t="shared" si="5"/>
        <v> </v>
      </c>
      <c r="I59" s="97"/>
    </row>
    <row r="60" spans="1:9" ht="16.5" customHeight="1">
      <c r="A60" s="672"/>
      <c r="B60" s="96">
        <v>-511872</v>
      </c>
      <c r="C60" s="111" t="s">
        <v>224</v>
      </c>
      <c r="D60" s="93">
        <v>-50000</v>
      </c>
      <c r="E60" s="93">
        <f>'現金機關'!F30</f>
        <v>3295771</v>
      </c>
      <c r="F60" s="95"/>
      <c r="G60" s="95"/>
      <c r="H60" s="93">
        <f t="shared" si="5"/>
        <v>3295771</v>
      </c>
      <c r="I60" s="97"/>
    </row>
    <row r="61" spans="1:9" ht="16.5" customHeight="1">
      <c r="A61" s="672"/>
      <c r="B61" s="107">
        <v>100000000</v>
      </c>
      <c r="C61" s="111" t="s">
        <v>230</v>
      </c>
      <c r="D61" s="171">
        <v>60000000</v>
      </c>
      <c r="E61" s="107">
        <f>'現金機關'!F31</f>
        <v>60000000</v>
      </c>
      <c r="F61" s="112"/>
      <c r="G61" s="112"/>
      <c r="H61" s="107">
        <f t="shared" si="5"/>
        <v>60000000</v>
      </c>
      <c r="I61" s="97"/>
    </row>
    <row r="62" spans="1:9" ht="16.5" customHeight="1">
      <c r="A62" s="672"/>
      <c r="B62" s="107">
        <v>0</v>
      </c>
      <c r="C62" s="111" t="s">
        <v>233</v>
      </c>
      <c r="D62" s="107">
        <v>0</v>
      </c>
      <c r="E62" s="107">
        <f>'現金機關'!F32</f>
        <v>0</v>
      </c>
      <c r="F62" s="112"/>
      <c r="G62" s="112"/>
      <c r="H62" s="107">
        <f t="shared" si="5"/>
        <v>0</v>
      </c>
      <c r="I62" s="97"/>
    </row>
    <row r="63" spans="1:9" ht="16.5" customHeight="1">
      <c r="A63" s="672"/>
      <c r="B63" s="93">
        <f>SUM(B60:B62)</f>
        <v>99488128</v>
      </c>
      <c r="C63" s="111" t="s">
        <v>226</v>
      </c>
      <c r="D63" s="171">
        <f>D60+D61+D62</f>
        <v>59950000</v>
      </c>
      <c r="E63" s="93">
        <f>SUM(E60:E62)</f>
        <v>63295771</v>
      </c>
      <c r="F63" s="95"/>
      <c r="G63" s="95"/>
      <c r="H63" s="93">
        <f t="shared" si="5"/>
        <v>63295771</v>
      </c>
      <c r="I63" s="92"/>
    </row>
    <row r="64" spans="1:9" ht="16.5" customHeight="1">
      <c r="A64" s="672"/>
      <c r="B64" s="93">
        <f>B63+B58+B52</f>
        <v>-45783463</v>
      </c>
      <c r="C64" s="166" t="s">
        <v>46</v>
      </c>
      <c r="D64" s="171">
        <f>D63+D58+D52</f>
        <v>6343000</v>
      </c>
      <c r="E64" s="93">
        <f>E63+E58+E52</f>
        <v>-13111915</v>
      </c>
      <c r="F64" s="95"/>
      <c r="G64" s="95"/>
      <c r="H64" s="93">
        <f t="shared" si="5"/>
        <v>-13111915</v>
      </c>
      <c r="I64" s="116"/>
    </row>
    <row r="65" spans="1:9" ht="16.5" customHeight="1">
      <c r="A65" s="672"/>
      <c r="B65" s="96">
        <v>153174336</v>
      </c>
      <c r="C65" s="166" t="s">
        <v>227</v>
      </c>
      <c r="D65" s="171">
        <v>91232000</v>
      </c>
      <c r="E65" s="93">
        <f>'現金機關'!F37</f>
        <v>107390873</v>
      </c>
      <c r="F65" s="95"/>
      <c r="G65" s="95"/>
      <c r="H65" s="93">
        <f t="shared" si="5"/>
        <v>107390873</v>
      </c>
      <c r="I65" s="116"/>
    </row>
    <row r="66" spans="1:9" ht="16.5" customHeight="1">
      <c r="A66" s="673"/>
      <c r="B66" s="99">
        <v>107390873</v>
      </c>
      <c r="C66" s="167" t="s">
        <v>228</v>
      </c>
      <c r="D66" s="174">
        <f>D64+D65</f>
        <v>97575000</v>
      </c>
      <c r="E66" s="99">
        <f>E65+E64</f>
        <v>94278958</v>
      </c>
      <c r="F66" s="101"/>
      <c r="G66" s="101"/>
      <c r="H66" s="99">
        <f t="shared" si="5"/>
        <v>94278958</v>
      </c>
      <c r="I66" s="116"/>
    </row>
    <row r="67" spans="1:9" ht="15.75" customHeight="1">
      <c r="A67" s="668" t="s">
        <v>309</v>
      </c>
      <c r="B67" s="102">
        <f>B68+B73+B81+B83</f>
        <v>472969012</v>
      </c>
      <c r="C67" s="103" t="s">
        <v>185</v>
      </c>
      <c r="D67" s="170">
        <f>D68+D73+D81+D83</f>
        <v>480076000</v>
      </c>
      <c r="E67" s="102">
        <f>E68+E73+E81+E83</f>
        <v>446822444</v>
      </c>
      <c r="F67" s="104"/>
      <c r="G67" s="104"/>
      <c r="H67" s="102">
        <f>H68+H73+H81+H83</f>
        <v>446822444</v>
      </c>
      <c r="I67" s="116"/>
    </row>
    <row r="68" spans="1:9" ht="15.75" customHeight="1">
      <c r="A68" s="672"/>
      <c r="B68" s="93">
        <f>SUM(B69:B72)</f>
        <v>183920542</v>
      </c>
      <c r="C68" s="117" t="s">
        <v>706</v>
      </c>
      <c r="D68" s="171">
        <f>SUM(D69:D72)</f>
        <v>120375000</v>
      </c>
      <c r="E68" s="93">
        <f>'資產機關'!J8</f>
        <v>139392822</v>
      </c>
      <c r="F68" s="95"/>
      <c r="G68" s="95"/>
      <c r="H68" s="93">
        <f>SUM(H69:H72)</f>
        <v>139392822</v>
      </c>
      <c r="I68" s="116"/>
    </row>
    <row r="69" spans="1:9" ht="15.75" customHeight="1">
      <c r="A69" s="672"/>
      <c r="B69" s="105">
        <v>107390873</v>
      </c>
      <c r="C69" s="118" t="s">
        <v>707</v>
      </c>
      <c r="D69" s="171">
        <v>97575000</v>
      </c>
      <c r="E69" s="93">
        <f>'資產機關'!J9</f>
        <v>94278958</v>
      </c>
      <c r="F69" s="95"/>
      <c r="G69" s="95"/>
      <c r="H69" s="93">
        <f>E69</f>
        <v>94278958</v>
      </c>
      <c r="I69" s="116"/>
    </row>
    <row r="70" spans="1:9" ht="15.75" customHeight="1">
      <c r="A70" s="672"/>
      <c r="B70" s="105">
        <v>16346936</v>
      </c>
      <c r="C70" s="118" t="s">
        <v>708</v>
      </c>
      <c r="D70" s="171">
        <v>12000000</v>
      </c>
      <c r="E70" s="93">
        <f>'資產機關'!J10</f>
        <v>16594979</v>
      </c>
      <c r="F70" s="95"/>
      <c r="G70" s="95"/>
      <c r="H70" s="93">
        <f>E70</f>
        <v>16594979</v>
      </c>
      <c r="I70" s="116"/>
    </row>
    <row r="71" spans="1:9" ht="15.75" customHeight="1">
      <c r="A71" s="672"/>
      <c r="B71" s="105">
        <v>17709967</v>
      </c>
      <c r="C71" s="118" t="s">
        <v>709</v>
      </c>
      <c r="D71" s="171">
        <v>10300000</v>
      </c>
      <c r="E71" s="93">
        <f>'資產機關'!J11</f>
        <v>20244275</v>
      </c>
      <c r="F71" s="95"/>
      <c r="G71" s="95"/>
      <c r="H71" s="93">
        <f>E71</f>
        <v>20244275</v>
      </c>
      <c r="I71" s="116"/>
    </row>
    <row r="72" spans="1:9" ht="15.75" customHeight="1">
      <c r="A72" s="672"/>
      <c r="B72" s="105">
        <v>42472766</v>
      </c>
      <c r="C72" s="118" t="s">
        <v>710</v>
      </c>
      <c r="D72" s="171">
        <v>500000</v>
      </c>
      <c r="E72" s="93">
        <f>'資產機關'!J12</f>
        <v>8274610</v>
      </c>
      <c r="F72" s="95"/>
      <c r="G72" s="95"/>
      <c r="H72" s="93">
        <f>E72</f>
        <v>8274610</v>
      </c>
      <c r="I72" s="116"/>
    </row>
    <row r="73" spans="1:9" ht="15.75" customHeight="1">
      <c r="A73" s="672"/>
      <c r="B73" s="93">
        <f>SUM(B74:B80)</f>
        <v>277135156</v>
      </c>
      <c r="C73" s="117" t="s">
        <v>739</v>
      </c>
      <c r="D73" s="171">
        <f>SUM(D74:D80)</f>
        <v>348413000</v>
      </c>
      <c r="E73" s="93">
        <f>'資產機關'!J16</f>
        <v>296090580</v>
      </c>
      <c r="F73" s="95"/>
      <c r="G73" s="95"/>
      <c r="H73" s="93">
        <f aca="true" t="shared" si="6" ref="H73:H82">E73</f>
        <v>296090580</v>
      </c>
      <c r="I73" s="116"/>
    </row>
    <row r="74" spans="1:9" ht="15.75" customHeight="1">
      <c r="A74" s="672"/>
      <c r="B74" s="105">
        <v>30460042</v>
      </c>
      <c r="C74" s="118" t="s">
        <v>740</v>
      </c>
      <c r="D74" s="175">
        <v>59067000</v>
      </c>
      <c r="E74" s="93">
        <f>'資產機關'!J17</f>
        <v>70269238</v>
      </c>
      <c r="F74" s="95"/>
      <c r="G74" s="95"/>
      <c r="H74" s="93">
        <f t="shared" si="6"/>
        <v>70269238</v>
      </c>
      <c r="I74" s="116"/>
    </row>
    <row r="75" spans="1:9" ht="15.75" customHeight="1">
      <c r="A75" s="672"/>
      <c r="B75" s="105">
        <v>938095</v>
      </c>
      <c r="C75" s="118" t="s">
        <v>741</v>
      </c>
      <c r="D75" s="171">
        <v>938000</v>
      </c>
      <c r="E75" s="93">
        <f>'資產機關'!J18</f>
        <v>938095</v>
      </c>
      <c r="F75" s="95"/>
      <c r="G75" s="95"/>
      <c r="H75" s="93">
        <f t="shared" si="6"/>
        <v>938095</v>
      </c>
      <c r="I75" s="116"/>
    </row>
    <row r="76" spans="1:9" ht="15.75" customHeight="1">
      <c r="A76" s="672"/>
      <c r="B76" s="105">
        <v>88688239</v>
      </c>
      <c r="C76" s="118" t="s">
        <v>742</v>
      </c>
      <c r="D76" s="171">
        <v>145635000</v>
      </c>
      <c r="E76" s="93">
        <f>'資產機關'!J19</f>
        <v>85995571</v>
      </c>
      <c r="F76" s="95"/>
      <c r="G76" s="95"/>
      <c r="H76" s="93">
        <f t="shared" si="6"/>
        <v>85995571</v>
      </c>
      <c r="I76" s="116"/>
    </row>
    <row r="77" spans="1:9" ht="15.75" customHeight="1">
      <c r="A77" s="672"/>
      <c r="B77" s="105">
        <v>21678347</v>
      </c>
      <c r="C77" s="118" t="s">
        <v>743</v>
      </c>
      <c r="D77" s="171">
        <v>17847000</v>
      </c>
      <c r="E77" s="93">
        <f>'資產機關'!J20</f>
        <v>17994796</v>
      </c>
      <c r="F77" s="95"/>
      <c r="G77" s="95"/>
      <c r="H77" s="93">
        <f t="shared" si="6"/>
        <v>17994796</v>
      </c>
      <c r="I77" s="116"/>
    </row>
    <row r="78" spans="1:9" ht="15.75" customHeight="1">
      <c r="A78" s="672"/>
      <c r="B78" s="105">
        <v>132801372</v>
      </c>
      <c r="C78" s="118" t="s">
        <v>744</v>
      </c>
      <c r="D78" s="171">
        <v>123441000</v>
      </c>
      <c r="E78" s="93">
        <f>'資產機關'!J21</f>
        <v>118893241</v>
      </c>
      <c r="F78" s="95"/>
      <c r="G78" s="95"/>
      <c r="H78" s="93">
        <f t="shared" si="6"/>
        <v>118893241</v>
      </c>
      <c r="I78" s="116"/>
    </row>
    <row r="79" spans="1:9" ht="15.75" customHeight="1">
      <c r="A79" s="672"/>
      <c r="B79" s="105">
        <v>2569061</v>
      </c>
      <c r="C79" s="118" t="s">
        <v>745</v>
      </c>
      <c r="D79" s="171">
        <v>1485000</v>
      </c>
      <c r="E79" s="93">
        <f>'資產機關'!J22</f>
        <v>1999639</v>
      </c>
      <c r="F79" s="95"/>
      <c r="G79" s="95"/>
      <c r="H79" s="93">
        <f t="shared" si="6"/>
        <v>1999639</v>
      </c>
      <c r="I79" s="116"/>
    </row>
    <row r="80" spans="1:9" ht="15.75" customHeight="1">
      <c r="A80" s="672"/>
      <c r="B80" s="107">
        <v>0</v>
      </c>
      <c r="C80" s="121" t="s">
        <v>229</v>
      </c>
      <c r="D80" s="171" t="s">
        <v>903</v>
      </c>
      <c r="E80" s="107">
        <f>'資產機關'!J24</f>
        <v>0</v>
      </c>
      <c r="F80" s="112"/>
      <c r="G80" s="112"/>
      <c r="H80" s="107">
        <f t="shared" si="6"/>
        <v>0</v>
      </c>
      <c r="I80" s="116"/>
    </row>
    <row r="81" spans="1:9" ht="15.75" customHeight="1">
      <c r="A81" s="672"/>
      <c r="B81" s="107">
        <f>B82</f>
        <v>1681508</v>
      </c>
      <c r="C81" s="94" t="s">
        <v>411</v>
      </c>
      <c r="D81" s="171">
        <f>SUM(D82)</f>
        <v>1156000</v>
      </c>
      <c r="E81" s="93">
        <f>E82</f>
        <v>1107236</v>
      </c>
      <c r="F81" s="95"/>
      <c r="G81" s="95"/>
      <c r="H81" s="93">
        <f t="shared" si="6"/>
        <v>1107236</v>
      </c>
      <c r="I81" s="116"/>
    </row>
    <row r="82" spans="1:9" ht="15.75" customHeight="1">
      <c r="A82" s="672"/>
      <c r="B82" s="105">
        <v>1681508</v>
      </c>
      <c r="C82" s="118" t="s">
        <v>746</v>
      </c>
      <c r="D82" s="171">
        <v>1156000</v>
      </c>
      <c r="E82" s="93">
        <f>'資產機關'!J26</f>
        <v>1107236</v>
      </c>
      <c r="F82" s="95"/>
      <c r="G82" s="95"/>
      <c r="H82" s="93">
        <f t="shared" si="6"/>
        <v>1107236</v>
      </c>
      <c r="I82" s="116"/>
    </row>
    <row r="83" spans="1:9" ht="15.75" customHeight="1">
      <c r="A83" s="672"/>
      <c r="B83" s="93">
        <f>B84</f>
        <v>10231806</v>
      </c>
      <c r="C83" s="117" t="s">
        <v>747</v>
      </c>
      <c r="D83" s="171">
        <f>D84</f>
        <v>10132000</v>
      </c>
      <c r="E83" s="93">
        <f>'資產機關'!J27</f>
        <v>10231806</v>
      </c>
      <c r="F83" s="95"/>
      <c r="G83" s="95"/>
      <c r="H83" s="93">
        <f>E83</f>
        <v>10231806</v>
      </c>
      <c r="I83" s="116"/>
    </row>
    <row r="84" spans="1:9" ht="15.75" customHeight="1">
      <c r="A84" s="672"/>
      <c r="B84" s="105">
        <v>10231806</v>
      </c>
      <c r="C84" s="118" t="s">
        <v>748</v>
      </c>
      <c r="D84" s="171">
        <v>10132000</v>
      </c>
      <c r="E84" s="93">
        <f>'資產機關'!J29</f>
        <v>10231806</v>
      </c>
      <c r="F84" s="95"/>
      <c r="G84" s="95"/>
      <c r="H84" s="93">
        <f>E84</f>
        <v>10231806</v>
      </c>
      <c r="I84" s="122"/>
    </row>
    <row r="85" spans="1:9" ht="15.75" customHeight="1">
      <c r="A85" s="672"/>
      <c r="B85" s="93">
        <f>B67</f>
        <v>472969012</v>
      </c>
      <c r="C85" s="94" t="s">
        <v>253</v>
      </c>
      <c r="D85" s="171">
        <f>D68+D73+D81+D83</f>
        <v>480076000</v>
      </c>
      <c r="E85" s="93">
        <f>'資產機關'!J31</f>
        <v>446822444</v>
      </c>
      <c r="F85" s="95"/>
      <c r="G85" s="95"/>
      <c r="H85" s="93">
        <f aca="true" t="shared" si="7" ref="H85:H93">E85</f>
        <v>446822444</v>
      </c>
      <c r="I85" s="122"/>
    </row>
    <row r="86" spans="1:9" ht="15.75" customHeight="1">
      <c r="A86" s="672"/>
      <c r="B86" s="93">
        <f>B87+B90+B92</f>
        <v>181970945</v>
      </c>
      <c r="C86" s="117" t="s">
        <v>749</v>
      </c>
      <c r="D86" s="171">
        <f>D87+D90+D92</f>
        <v>290051000</v>
      </c>
      <c r="E86" s="93">
        <f>'資產機關'!J32</f>
        <v>131828193</v>
      </c>
      <c r="F86" s="95"/>
      <c r="G86" s="95"/>
      <c r="H86" s="93">
        <f t="shared" si="7"/>
        <v>131828193</v>
      </c>
      <c r="I86" s="122"/>
    </row>
    <row r="87" spans="1:9" ht="15.75" customHeight="1">
      <c r="A87" s="672"/>
      <c r="B87" s="93">
        <f>B88+B89</f>
        <v>20945314</v>
      </c>
      <c r="C87" s="117" t="s">
        <v>750</v>
      </c>
      <c r="D87" s="171">
        <f>D88+D89</f>
        <v>37182000</v>
      </c>
      <c r="E87" s="93">
        <f>'資產機關'!J33</f>
        <v>32578150</v>
      </c>
      <c r="F87" s="95"/>
      <c r="G87" s="95"/>
      <c r="H87" s="93">
        <f t="shared" si="7"/>
        <v>32578150</v>
      </c>
      <c r="I87" s="122"/>
    </row>
    <row r="88" spans="1:9" ht="15.75" customHeight="1">
      <c r="A88" s="672"/>
      <c r="B88" s="105">
        <v>20945314</v>
      </c>
      <c r="C88" s="118" t="s">
        <v>751</v>
      </c>
      <c r="D88" s="171">
        <v>36982000</v>
      </c>
      <c r="E88" s="93">
        <f>'資產機關'!J34</f>
        <v>32578150</v>
      </c>
      <c r="F88" s="95"/>
      <c r="G88" s="95"/>
      <c r="H88" s="93">
        <f t="shared" si="7"/>
        <v>32578150</v>
      </c>
      <c r="I88" s="122"/>
    </row>
    <row r="89" spans="1:9" ht="15.75" customHeight="1">
      <c r="A89" s="672"/>
      <c r="B89" s="105">
        <v>0</v>
      </c>
      <c r="C89" s="118" t="s">
        <v>752</v>
      </c>
      <c r="D89" s="171">
        <v>200000</v>
      </c>
      <c r="E89" s="120">
        <f>'資產機關'!J35</f>
        <v>0</v>
      </c>
      <c r="F89" s="95"/>
      <c r="G89" s="95"/>
      <c r="H89" s="108">
        <f t="shared" si="7"/>
        <v>0</v>
      </c>
      <c r="I89" s="122"/>
    </row>
    <row r="90" spans="1:9" ht="15.75" customHeight="1">
      <c r="A90" s="672"/>
      <c r="B90" s="93">
        <f>B91</f>
        <v>53606352</v>
      </c>
      <c r="C90" s="117" t="s">
        <v>753</v>
      </c>
      <c r="D90" s="171">
        <f>D91</f>
        <v>139219000</v>
      </c>
      <c r="E90" s="93">
        <f>'資產機關'!J37</f>
        <v>11593498</v>
      </c>
      <c r="F90" s="95"/>
      <c r="G90" s="95"/>
      <c r="H90" s="93">
        <f t="shared" si="7"/>
        <v>11593498</v>
      </c>
      <c r="I90" s="122"/>
    </row>
    <row r="91" spans="1:9" ht="15.75" customHeight="1">
      <c r="A91" s="672"/>
      <c r="B91" s="105">
        <v>53606352</v>
      </c>
      <c r="C91" s="118" t="s">
        <v>754</v>
      </c>
      <c r="D91" s="171">
        <v>139219000</v>
      </c>
      <c r="E91" s="93">
        <f>'資產機關'!J38</f>
        <v>11593498</v>
      </c>
      <c r="F91" s="95"/>
      <c r="G91" s="95"/>
      <c r="H91" s="93">
        <f t="shared" si="7"/>
        <v>11593498</v>
      </c>
      <c r="I91" s="122"/>
    </row>
    <row r="92" spans="1:9" ht="15.75" customHeight="1">
      <c r="A92" s="672"/>
      <c r="B92" s="93">
        <f>SUM(B93:B95)</f>
        <v>107419279</v>
      </c>
      <c r="C92" s="117" t="s">
        <v>755</v>
      </c>
      <c r="D92" s="171">
        <f>D93+D94+D95</f>
        <v>113650000</v>
      </c>
      <c r="E92" s="93">
        <f>'資產機關'!J39</f>
        <v>87656545</v>
      </c>
      <c r="F92" s="95"/>
      <c r="G92" s="95"/>
      <c r="H92" s="93">
        <f t="shared" si="7"/>
        <v>87656545</v>
      </c>
      <c r="I92" s="122"/>
    </row>
    <row r="93" spans="1:9" ht="15.75" customHeight="1">
      <c r="A93" s="672"/>
      <c r="B93" s="107">
        <v>0</v>
      </c>
      <c r="C93" s="118" t="s">
        <v>756</v>
      </c>
      <c r="D93" s="107">
        <v>0</v>
      </c>
      <c r="E93" s="108">
        <f>'資產機關'!J40</f>
        <v>0</v>
      </c>
      <c r="F93" s="109"/>
      <c r="G93" s="109"/>
      <c r="H93" s="108">
        <f t="shared" si="7"/>
        <v>0</v>
      </c>
      <c r="I93" s="122"/>
    </row>
    <row r="94" spans="1:9" ht="15.75" customHeight="1">
      <c r="A94" s="672"/>
      <c r="B94" s="105">
        <v>5867752</v>
      </c>
      <c r="C94" s="118" t="s">
        <v>757</v>
      </c>
      <c r="D94" s="171">
        <v>8650000</v>
      </c>
      <c r="E94" s="93">
        <f>'資產機關'!J41</f>
        <v>9163523</v>
      </c>
      <c r="F94" s="95"/>
      <c r="G94" s="95"/>
      <c r="H94" s="93">
        <f>E94</f>
        <v>9163523</v>
      </c>
      <c r="I94" s="122"/>
    </row>
    <row r="95" spans="1:9" ht="15.75" customHeight="1">
      <c r="A95" s="672"/>
      <c r="B95" s="105">
        <v>101551527</v>
      </c>
      <c r="C95" s="118" t="s">
        <v>758</v>
      </c>
      <c r="D95" s="171">
        <v>105000000</v>
      </c>
      <c r="E95" s="93">
        <f>'資產機關'!J42</f>
        <v>78493022</v>
      </c>
      <c r="F95" s="95"/>
      <c r="G95" s="95"/>
      <c r="H95" s="93">
        <f>E95</f>
        <v>78493022</v>
      </c>
      <c r="I95" s="122"/>
    </row>
    <row r="96" spans="1:9" ht="15.75" customHeight="1">
      <c r="A96" s="672"/>
      <c r="B96" s="93">
        <f>B97+B99+B101+B104</f>
        <v>290998067</v>
      </c>
      <c r="C96" s="94" t="s">
        <v>250</v>
      </c>
      <c r="D96" s="171">
        <f>D97+D99+D101+D104</f>
        <v>190025000</v>
      </c>
      <c r="E96" s="93">
        <f>'資產機關'!J43</f>
        <v>314994251</v>
      </c>
      <c r="F96" s="95"/>
      <c r="G96" s="95"/>
      <c r="H96" s="93">
        <f aca="true" t="shared" si="8" ref="H96:H106">E96</f>
        <v>314994251</v>
      </c>
      <c r="I96" s="122"/>
    </row>
    <row r="97" spans="1:9" ht="15.75" customHeight="1">
      <c r="A97" s="672"/>
      <c r="B97" s="93">
        <f>B98</f>
        <v>247534773</v>
      </c>
      <c r="C97" s="117" t="s">
        <v>759</v>
      </c>
      <c r="D97" s="171">
        <f>D98</f>
        <v>247535000</v>
      </c>
      <c r="E97" s="93">
        <f>'資產機關'!J44</f>
        <v>247534773</v>
      </c>
      <c r="F97" s="95"/>
      <c r="G97" s="95"/>
      <c r="H97" s="93">
        <f t="shared" si="8"/>
        <v>247534773</v>
      </c>
      <c r="I97" s="122"/>
    </row>
    <row r="98" spans="1:9" ht="15.75" customHeight="1">
      <c r="A98" s="672"/>
      <c r="B98" s="105">
        <v>247534773</v>
      </c>
      <c r="C98" s="118" t="s">
        <v>760</v>
      </c>
      <c r="D98" s="171">
        <v>247535000</v>
      </c>
      <c r="E98" s="93">
        <f>'資產機關'!J45</f>
        <v>247534773</v>
      </c>
      <c r="F98" s="95"/>
      <c r="G98" s="95"/>
      <c r="H98" s="93">
        <f t="shared" si="8"/>
        <v>247534773</v>
      </c>
      <c r="I98" s="122"/>
    </row>
    <row r="99" spans="1:9" ht="15.75" customHeight="1">
      <c r="A99" s="672"/>
      <c r="B99" s="93">
        <f>B100</f>
        <v>279241787</v>
      </c>
      <c r="C99" s="117" t="s">
        <v>761</v>
      </c>
      <c r="D99" s="171">
        <f>D100</f>
        <v>279214000</v>
      </c>
      <c r="E99" s="93">
        <f>'資產機關'!J46</f>
        <v>279241787</v>
      </c>
      <c r="F99" s="95"/>
      <c r="G99" s="95"/>
      <c r="H99" s="93">
        <f t="shared" si="8"/>
        <v>279241787</v>
      </c>
      <c r="I99" s="122"/>
    </row>
    <row r="100" spans="1:9" ht="15.75" customHeight="1">
      <c r="A100" s="672"/>
      <c r="B100" s="105">
        <v>279241787</v>
      </c>
      <c r="C100" s="118" t="s">
        <v>762</v>
      </c>
      <c r="D100" s="171">
        <v>279214000</v>
      </c>
      <c r="E100" s="93">
        <f>'資產機關'!J47</f>
        <v>279241787</v>
      </c>
      <c r="F100" s="95"/>
      <c r="G100" s="95"/>
      <c r="H100" s="93">
        <f t="shared" si="8"/>
        <v>279241787</v>
      </c>
      <c r="I100" s="122"/>
    </row>
    <row r="101" spans="1:9" ht="15.75" customHeight="1">
      <c r="A101" s="672"/>
      <c r="B101" s="93">
        <f>SUM(B102:B103)</f>
        <v>-362349962</v>
      </c>
      <c r="C101" s="117" t="s">
        <v>763</v>
      </c>
      <c r="D101" s="93">
        <f>D102+D103</f>
        <v>-451934000</v>
      </c>
      <c r="E101" s="93">
        <f>'資產機關'!J48</f>
        <v>-338353778</v>
      </c>
      <c r="F101" s="95"/>
      <c r="G101" s="95"/>
      <c r="H101" s="93">
        <f t="shared" si="8"/>
        <v>-338353778</v>
      </c>
      <c r="I101" s="122"/>
    </row>
    <row r="102" spans="1:9" ht="15.75" customHeight="1">
      <c r="A102" s="672"/>
      <c r="B102" s="107">
        <v>0</v>
      </c>
      <c r="C102" s="118" t="s">
        <v>764</v>
      </c>
      <c r="D102" s="107">
        <v>0</v>
      </c>
      <c r="E102" s="107">
        <f>'資產機關'!J50</f>
        <v>0</v>
      </c>
      <c r="F102" s="112"/>
      <c r="G102" s="112"/>
      <c r="H102" s="107">
        <f t="shared" si="8"/>
        <v>0</v>
      </c>
      <c r="I102" s="122"/>
    </row>
    <row r="103" spans="1:9" ht="15.75" customHeight="1">
      <c r="A103" s="672"/>
      <c r="B103" s="96">
        <v>-362349962</v>
      </c>
      <c r="C103" s="118" t="s">
        <v>765</v>
      </c>
      <c r="D103" s="93">
        <v>-451934000</v>
      </c>
      <c r="E103" s="93">
        <f>'資產機關'!J51</f>
        <v>-338353778</v>
      </c>
      <c r="F103" s="95"/>
      <c r="G103" s="95"/>
      <c r="H103" s="93">
        <f t="shared" si="8"/>
        <v>-338353778</v>
      </c>
      <c r="I103" s="122"/>
    </row>
    <row r="104" spans="1:9" ht="15.75" customHeight="1">
      <c r="A104" s="672"/>
      <c r="B104" s="93">
        <f>B105</f>
        <v>126571469</v>
      </c>
      <c r="C104" s="121" t="s">
        <v>310</v>
      </c>
      <c r="D104" s="171">
        <f>SUM(D105)</f>
        <v>115210000</v>
      </c>
      <c r="E104" s="93">
        <f>E105</f>
        <v>126571469</v>
      </c>
      <c r="F104" s="95"/>
      <c r="G104" s="95"/>
      <c r="H104" s="93">
        <f t="shared" si="8"/>
        <v>126571469</v>
      </c>
      <c r="I104" s="122"/>
    </row>
    <row r="105" spans="1:9" ht="15.75" customHeight="1">
      <c r="A105" s="672"/>
      <c r="B105" s="105">
        <v>126571469</v>
      </c>
      <c r="C105" s="121" t="s">
        <v>311</v>
      </c>
      <c r="D105" s="171">
        <v>115210000</v>
      </c>
      <c r="E105" s="93">
        <f>'資產機關'!J54</f>
        <v>126571469</v>
      </c>
      <c r="F105" s="95"/>
      <c r="G105" s="95"/>
      <c r="H105" s="93">
        <f t="shared" si="8"/>
        <v>126571469</v>
      </c>
      <c r="I105" s="122"/>
    </row>
    <row r="106" spans="1:8" ht="15.75" customHeight="1">
      <c r="A106" s="673"/>
      <c r="B106" s="131">
        <f>B96+B86</f>
        <v>472969012</v>
      </c>
      <c r="C106" s="132" t="s">
        <v>251</v>
      </c>
      <c r="D106" s="176">
        <f>D96+D86</f>
        <v>480076000</v>
      </c>
      <c r="E106" s="131">
        <f>E96+E86</f>
        <v>446822444</v>
      </c>
      <c r="F106" s="131"/>
      <c r="G106" s="131"/>
      <c r="H106" s="99">
        <f t="shared" si="8"/>
        <v>446822444</v>
      </c>
    </row>
    <row r="107" ht="16.5">
      <c r="B107" s="133"/>
    </row>
    <row r="108" ht="16.5">
      <c r="B108" s="133"/>
    </row>
    <row r="109" ht="16.5">
      <c r="B109" s="133"/>
    </row>
    <row r="110" ht="16.5">
      <c r="B110" s="133"/>
    </row>
    <row r="111" ht="16.5">
      <c r="B111" s="133"/>
    </row>
    <row r="112" ht="16.5">
      <c r="B112" s="133"/>
    </row>
    <row r="113" ht="16.5">
      <c r="B113" s="133"/>
    </row>
    <row r="114" ht="16.5">
      <c r="B114" s="133"/>
    </row>
    <row r="115" ht="16.5">
      <c r="B115" s="133"/>
    </row>
    <row r="116" ht="16.5">
      <c r="B116" s="133"/>
    </row>
    <row r="117" ht="16.5">
      <c r="B117" s="133"/>
    </row>
    <row r="118" ht="16.5">
      <c r="B118" s="133"/>
    </row>
    <row r="119" ht="16.5">
      <c r="B119" s="133"/>
    </row>
    <row r="120" ht="16.5">
      <c r="B120" s="133"/>
    </row>
    <row r="121" ht="16.5">
      <c r="B121" s="133"/>
    </row>
    <row r="122" ht="16.5">
      <c r="B122" s="133"/>
    </row>
    <row r="123" ht="16.5">
      <c r="B123" s="133"/>
    </row>
    <row r="124" ht="16.5">
      <c r="B124" s="133"/>
    </row>
  </sheetData>
  <sheetProtection/>
  <mergeCells count="12">
    <mergeCell ref="A5:A28"/>
    <mergeCell ref="A29:A48"/>
    <mergeCell ref="A49:A66"/>
    <mergeCell ref="A67:A106"/>
    <mergeCell ref="A1:H1"/>
    <mergeCell ref="C2:F2"/>
    <mergeCell ref="F3:G3"/>
    <mergeCell ref="H3:H4"/>
    <mergeCell ref="A3:A4"/>
    <mergeCell ref="C3:C4"/>
    <mergeCell ref="D3:D4"/>
    <mergeCell ref="E3:E4"/>
  </mergeCells>
  <printOptions horizontalCentered="1" verticalCentered="1"/>
  <pageMargins left="0.7874015748031497" right="0.7874015748031497" top="0.5905511811023623" bottom="0.5905511811023623" header="0" footer="0.31496062992125984"/>
  <pageSetup firstPageNumber="48" useFirstPageNumber="1" horizontalDpi="600" verticalDpi="600" orientation="portrait" pageOrder="overThenDown" paperSize="9" r:id="rId1"/>
  <headerFooter alignWithMargins="0">
    <oddFooter xml:space="preserve">&amp;C &amp;P </oddFooter>
  </headerFooter>
  <rowBreaks count="2" manualBreakCount="2">
    <brk id="28" max="255" man="1"/>
    <brk id="6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92" sqref="D92"/>
    </sheetView>
  </sheetViews>
  <sheetFormatPr defaultColWidth="9.00390625" defaultRowHeight="16.5"/>
  <cols>
    <col min="1" max="1" width="5.25390625" style="53" customWidth="1"/>
    <col min="2" max="2" width="10.125" style="53" customWidth="1"/>
    <col min="3" max="3" width="31.625" style="53" customWidth="1"/>
    <col min="4" max="4" width="9.375" style="53" customWidth="1"/>
    <col min="5" max="5" width="10.625" style="53" customWidth="1"/>
    <col min="6" max="7" width="5.12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440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C2" s="674" t="s">
        <v>562</v>
      </c>
      <c r="D2" s="674"/>
      <c r="E2" s="674"/>
      <c r="F2" s="674"/>
      <c r="H2" s="82" t="s">
        <v>99</v>
      </c>
    </row>
    <row r="3" spans="1:8" ht="27" customHeight="1">
      <c r="A3" s="666" t="s">
        <v>161</v>
      </c>
      <c r="B3" s="84" t="s">
        <v>162</v>
      </c>
      <c r="C3" s="667" t="s">
        <v>163</v>
      </c>
      <c r="D3" s="667" t="s">
        <v>74</v>
      </c>
      <c r="E3" s="667" t="s">
        <v>164</v>
      </c>
      <c r="F3" s="664" t="s">
        <v>165</v>
      </c>
      <c r="G3" s="665"/>
      <c r="H3" s="666" t="s">
        <v>166</v>
      </c>
    </row>
    <row r="4" spans="1:8" ht="27" customHeight="1">
      <c r="A4" s="666"/>
      <c r="B4" s="85" t="s">
        <v>96</v>
      </c>
      <c r="C4" s="667"/>
      <c r="D4" s="667"/>
      <c r="E4" s="667"/>
      <c r="F4" s="83" t="s">
        <v>167</v>
      </c>
      <c r="G4" s="83" t="s">
        <v>168</v>
      </c>
      <c r="H4" s="666"/>
    </row>
    <row r="5" spans="1:9" ht="27" customHeight="1">
      <c r="A5" s="668" t="s">
        <v>306</v>
      </c>
      <c r="B5" s="102"/>
      <c r="C5" s="135" t="s">
        <v>169</v>
      </c>
      <c r="D5" s="91"/>
      <c r="E5" s="91"/>
      <c r="F5" s="90"/>
      <c r="G5" s="90"/>
      <c r="H5" s="91"/>
      <c r="I5" s="92"/>
    </row>
    <row r="6" spans="1:9" ht="27" customHeight="1">
      <c r="A6" s="669"/>
      <c r="B6" s="93">
        <f>B7+B8</f>
        <v>95076291</v>
      </c>
      <c r="C6" s="94" t="s">
        <v>47</v>
      </c>
      <c r="D6" s="93">
        <f>D7+D8</f>
        <v>97604000</v>
      </c>
      <c r="E6" s="93">
        <f>E7+E8</f>
        <v>95861089</v>
      </c>
      <c r="F6" s="95"/>
      <c r="G6" s="95"/>
      <c r="H6" s="93">
        <f aca="true" t="shared" si="0" ref="H6:H14">E6</f>
        <v>95861089</v>
      </c>
      <c r="I6" s="92"/>
    </row>
    <row r="7" spans="1:9" ht="27" customHeight="1">
      <c r="A7" s="670"/>
      <c r="B7" s="105">
        <v>70670506</v>
      </c>
      <c r="C7" s="94" t="s">
        <v>50</v>
      </c>
      <c r="D7" s="93">
        <v>66404000</v>
      </c>
      <c r="E7" s="93">
        <f>'損益機關'!L10</f>
        <v>64571680</v>
      </c>
      <c r="F7" s="95"/>
      <c r="G7" s="95"/>
      <c r="H7" s="93">
        <f t="shared" si="0"/>
        <v>64571680</v>
      </c>
      <c r="I7" s="97"/>
    </row>
    <row r="8" spans="1:9" ht="27" customHeight="1">
      <c r="A8" s="670"/>
      <c r="B8" s="105">
        <v>24405785</v>
      </c>
      <c r="C8" s="94" t="s">
        <v>197</v>
      </c>
      <c r="D8" s="93">
        <v>31200000</v>
      </c>
      <c r="E8" s="93">
        <f>'損益機關'!L12</f>
        <v>31289409</v>
      </c>
      <c r="F8" s="95"/>
      <c r="G8" s="95"/>
      <c r="H8" s="93">
        <f t="shared" si="0"/>
        <v>31289409</v>
      </c>
      <c r="I8" s="97"/>
    </row>
    <row r="9" spans="1:9" ht="27" customHeight="1">
      <c r="A9" s="670"/>
      <c r="B9" s="93">
        <f>B10+B11</f>
        <v>91781405</v>
      </c>
      <c r="C9" s="94" t="s">
        <v>52</v>
      </c>
      <c r="D9" s="93">
        <f>D10+D11</f>
        <v>99489000</v>
      </c>
      <c r="E9" s="93">
        <f>E10+E11</f>
        <v>97863577</v>
      </c>
      <c r="F9" s="95"/>
      <c r="G9" s="95"/>
      <c r="H9" s="93">
        <f t="shared" si="0"/>
        <v>97863577</v>
      </c>
      <c r="I9" s="97"/>
    </row>
    <row r="10" spans="1:9" ht="27" customHeight="1">
      <c r="A10" s="670"/>
      <c r="B10" s="105">
        <v>64887716</v>
      </c>
      <c r="C10" s="94" t="s">
        <v>235</v>
      </c>
      <c r="D10" s="93">
        <v>71080000</v>
      </c>
      <c r="E10" s="93">
        <f>'損益機關'!L17</f>
        <v>70684877</v>
      </c>
      <c r="F10" s="95"/>
      <c r="G10" s="95"/>
      <c r="H10" s="93">
        <f t="shared" si="0"/>
        <v>70684877</v>
      </c>
      <c r="I10" s="97"/>
    </row>
    <row r="11" spans="1:9" ht="27" customHeight="1">
      <c r="A11" s="670"/>
      <c r="B11" s="105">
        <v>26893689</v>
      </c>
      <c r="C11" s="94" t="s">
        <v>56</v>
      </c>
      <c r="D11" s="93">
        <v>28409000</v>
      </c>
      <c r="E11" s="93">
        <f>'損益機關'!L19</f>
        <v>27178700</v>
      </c>
      <c r="F11" s="95"/>
      <c r="G11" s="95"/>
      <c r="H11" s="93">
        <f t="shared" si="0"/>
        <v>27178700</v>
      </c>
      <c r="I11" s="97"/>
    </row>
    <row r="12" spans="1:9" ht="27" customHeight="1">
      <c r="A12" s="670"/>
      <c r="B12" s="93">
        <f>B6-B9</f>
        <v>3294886</v>
      </c>
      <c r="C12" s="94" t="s">
        <v>170</v>
      </c>
      <c r="D12" s="93">
        <f>D6-D9</f>
        <v>-1885000</v>
      </c>
      <c r="E12" s="93">
        <f>E6-E9</f>
        <v>-2002488</v>
      </c>
      <c r="F12" s="95"/>
      <c r="G12" s="95"/>
      <c r="H12" s="93">
        <f t="shared" si="0"/>
        <v>-2002488</v>
      </c>
      <c r="I12" s="97"/>
    </row>
    <row r="13" spans="1:9" ht="27" customHeight="1">
      <c r="A13" s="670"/>
      <c r="B13" s="93">
        <f>B15</f>
        <v>4432272</v>
      </c>
      <c r="C13" s="94" t="s">
        <v>247</v>
      </c>
      <c r="D13" s="93">
        <f>SUM(D14:D16)</f>
        <v>6094000</v>
      </c>
      <c r="E13" s="93">
        <f>SUM(E14:E16)</f>
        <v>4626671</v>
      </c>
      <c r="F13" s="95"/>
      <c r="G13" s="95"/>
      <c r="H13" s="93">
        <f t="shared" si="0"/>
        <v>4626671</v>
      </c>
      <c r="I13" s="97"/>
    </row>
    <row r="14" spans="1:9" ht="27" customHeight="1">
      <c r="A14" s="670"/>
      <c r="B14" s="107">
        <v>0</v>
      </c>
      <c r="C14" s="161" t="s">
        <v>529</v>
      </c>
      <c r="D14" s="107">
        <v>0</v>
      </c>
      <c r="E14" s="107">
        <f>'損益機關'!L23</f>
        <v>0</v>
      </c>
      <c r="F14" s="112"/>
      <c r="G14" s="112"/>
      <c r="H14" s="107">
        <f t="shared" si="0"/>
        <v>0</v>
      </c>
      <c r="I14" s="97"/>
    </row>
    <row r="15" spans="1:9" ht="27" customHeight="1">
      <c r="A15" s="670"/>
      <c r="B15" s="105">
        <v>4432272</v>
      </c>
      <c r="C15" s="94" t="s">
        <v>172</v>
      </c>
      <c r="D15" s="93">
        <v>6094000</v>
      </c>
      <c r="E15" s="93">
        <f>'損益機關'!L24</f>
        <v>4626671</v>
      </c>
      <c r="F15" s="95"/>
      <c r="G15" s="95"/>
      <c r="H15" s="93">
        <f>E15</f>
        <v>4626671</v>
      </c>
      <c r="I15" s="97"/>
    </row>
    <row r="16" spans="1:9" ht="27" customHeight="1">
      <c r="A16" s="670"/>
      <c r="B16" s="107">
        <v>0</v>
      </c>
      <c r="C16" s="161" t="s">
        <v>530</v>
      </c>
      <c r="D16" s="107">
        <v>0</v>
      </c>
      <c r="E16" s="107">
        <f>'損益機關'!L25</f>
        <v>0</v>
      </c>
      <c r="F16" s="112"/>
      <c r="G16" s="112"/>
      <c r="H16" s="107">
        <f>E16</f>
        <v>0</v>
      </c>
      <c r="I16" s="97"/>
    </row>
    <row r="17" spans="1:9" ht="27" customHeight="1">
      <c r="A17" s="670"/>
      <c r="B17" s="93">
        <f>B12-B13</f>
        <v>-1137386</v>
      </c>
      <c r="C17" s="94" t="s">
        <v>248</v>
      </c>
      <c r="D17" s="93">
        <f>D12-D13</f>
        <v>-7979000</v>
      </c>
      <c r="E17" s="93">
        <f>E12-E13</f>
        <v>-6629159</v>
      </c>
      <c r="F17" s="95"/>
      <c r="G17" s="95"/>
      <c r="H17" s="93">
        <f>E17</f>
        <v>-6629159</v>
      </c>
      <c r="I17" s="97"/>
    </row>
    <row r="18" spans="1:9" ht="27" customHeight="1">
      <c r="A18" s="670"/>
      <c r="B18" s="93"/>
      <c r="C18" s="94" t="s">
        <v>249</v>
      </c>
      <c r="D18" s="93"/>
      <c r="E18" s="93"/>
      <c r="F18" s="95"/>
      <c r="G18" s="95"/>
      <c r="H18" s="93"/>
      <c r="I18" s="97"/>
    </row>
    <row r="19" spans="1:9" ht="27" customHeight="1">
      <c r="A19" s="670"/>
      <c r="B19" s="93">
        <f>B20+B21</f>
        <v>6753231</v>
      </c>
      <c r="C19" s="94" t="s">
        <v>174</v>
      </c>
      <c r="D19" s="93">
        <f>D20+D21</f>
        <v>6500000</v>
      </c>
      <c r="E19" s="93">
        <f>E20+E21</f>
        <v>6972355</v>
      </c>
      <c r="F19" s="95"/>
      <c r="G19" s="95"/>
      <c r="H19" s="93">
        <f aca="true" t="shared" si="1" ref="H19:H28">E19</f>
        <v>6972355</v>
      </c>
      <c r="I19" s="98"/>
    </row>
    <row r="20" spans="1:9" ht="27" customHeight="1">
      <c r="A20" s="670"/>
      <c r="B20" s="105">
        <v>389082</v>
      </c>
      <c r="C20" s="94" t="s">
        <v>61</v>
      </c>
      <c r="D20" s="93">
        <v>400000</v>
      </c>
      <c r="E20" s="93">
        <f>'損益機關'!L28</f>
        <v>350257</v>
      </c>
      <c r="F20" s="95"/>
      <c r="G20" s="95"/>
      <c r="H20" s="93">
        <f t="shared" si="1"/>
        <v>350257</v>
      </c>
      <c r="I20" s="97"/>
    </row>
    <row r="21" spans="1:9" ht="27" customHeight="1">
      <c r="A21" s="670"/>
      <c r="B21" s="105">
        <v>6364149</v>
      </c>
      <c r="C21" s="94" t="s">
        <v>62</v>
      </c>
      <c r="D21" s="93">
        <v>6100000</v>
      </c>
      <c r="E21" s="93">
        <f>'損益機關'!L29</f>
        <v>6622098</v>
      </c>
      <c r="F21" s="95"/>
      <c r="G21" s="95"/>
      <c r="H21" s="93">
        <f t="shared" si="1"/>
        <v>6622098</v>
      </c>
      <c r="I21" s="97"/>
    </row>
    <row r="22" spans="1:9" ht="27" customHeight="1">
      <c r="A22" s="670"/>
      <c r="B22" s="107">
        <f>SUM(B23:B24)</f>
        <v>60000</v>
      </c>
      <c r="C22" s="94" t="s">
        <v>63</v>
      </c>
      <c r="D22" s="107">
        <f>SUM(D23:D24)</f>
        <v>260000</v>
      </c>
      <c r="E22" s="107">
        <f>SUM(E23:E24)</f>
        <v>259986</v>
      </c>
      <c r="F22" s="112"/>
      <c r="G22" s="112"/>
      <c r="H22" s="107">
        <f t="shared" si="1"/>
        <v>259986</v>
      </c>
      <c r="I22" s="97"/>
    </row>
    <row r="23" spans="1:9" ht="27" customHeight="1">
      <c r="A23" s="670"/>
      <c r="B23" s="107">
        <v>0</v>
      </c>
      <c r="C23" s="94" t="s">
        <v>211</v>
      </c>
      <c r="D23" s="107">
        <v>0</v>
      </c>
      <c r="E23" s="107">
        <f>'損益機關'!L31</f>
        <v>0</v>
      </c>
      <c r="F23" s="112"/>
      <c r="G23" s="112"/>
      <c r="H23" s="107">
        <f t="shared" si="1"/>
        <v>0</v>
      </c>
      <c r="I23" s="97"/>
    </row>
    <row r="24" spans="1:9" ht="27" customHeight="1">
      <c r="A24" s="670"/>
      <c r="B24" s="105">
        <v>60000</v>
      </c>
      <c r="C24" s="94" t="s">
        <v>64</v>
      </c>
      <c r="D24" s="107">
        <v>260000</v>
      </c>
      <c r="E24" s="107">
        <f>'損益機關'!L32</f>
        <v>259986</v>
      </c>
      <c r="F24" s="112"/>
      <c r="G24" s="112"/>
      <c r="H24" s="107">
        <f t="shared" si="1"/>
        <v>259986</v>
      </c>
      <c r="I24" s="97"/>
    </row>
    <row r="25" spans="1:9" ht="27" customHeight="1">
      <c r="A25" s="670"/>
      <c r="B25" s="93">
        <f>B19-B22</f>
        <v>6693231</v>
      </c>
      <c r="C25" s="94" t="s">
        <v>173</v>
      </c>
      <c r="D25" s="93">
        <f>D19-D22</f>
        <v>6240000</v>
      </c>
      <c r="E25" s="93">
        <f>E19-E22</f>
        <v>6712369</v>
      </c>
      <c r="F25" s="95"/>
      <c r="G25" s="95"/>
      <c r="H25" s="93">
        <f t="shared" si="1"/>
        <v>6712369</v>
      </c>
      <c r="I25" s="97"/>
    </row>
    <row r="26" spans="1:9" ht="27" customHeight="1">
      <c r="A26" s="670"/>
      <c r="B26" s="93">
        <f>B25+B17</f>
        <v>5555845</v>
      </c>
      <c r="C26" s="94" t="s">
        <v>65</v>
      </c>
      <c r="D26" s="93">
        <f>D25+D17</f>
        <v>-1739000</v>
      </c>
      <c r="E26" s="93">
        <f>E25+E17</f>
        <v>83210</v>
      </c>
      <c r="F26" s="95"/>
      <c r="G26" s="95"/>
      <c r="H26" s="93">
        <f t="shared" si="1"/>
        <v>83210</v>
      </c>
      <c r="I26" s="97"/>
    </row>
    <row r="27" spans="1:9" ht="27" customHeight="1">
      <c r="A27" s="670"/>
      <c r="B27" s="107">
        <v>944494</v>
      </c>
      <c r="C27" s="161" t="s">
        <v>175</v>
      </c>
      <c r="D27" s="107">
        <v>0</v>
      </c>
      <c r="E27" s="107">
        <f>'損益機關'!L35</f>
        <v>0</v>
      </c>
      <c r="F27" s="112"/>
      <c r="G27" s="112"/>
      <c r="H27" s="107">
        <f t="shared" si="1"/>
        <v>0</v>
      </c>
      <c r="I27" s="97"/>
    </row>
    <row r="28" spans="1:9" ht="27" customHeight="1">
      <c r="A28" s="671"/>
      <c r="B28" s="99">
        <f>B26-B27</f>
        <v>4611351</v>
      </c>
      <c r="C28" s="100" t="s">
        <v>66</v>
      </c>
      <c r="D28" s="99">
        <f>D26-D27</f>
        <v>-1739000</v>
      </c>
      <c r="E28" s="99">
        <f>E26-E27</f>
        <v>83210</v>
      </c>
      <c r="F28" s="101"/>
      <c r="G28" s="101"/>
      <c r="H28" s="99">
        <f t="shared" si="1"/>
        <v>83210</v>
      </c>
      <c r="I28" s="97"/>
    </row>
    <row r="29" spans="1:9" ht="15.75" customHeight="1">
      <c r="A29" s="668" t="s">
        <v>307</v>
      </c>
      <c r="B29" s="102">
        <f>SUM(B30:B31)</f>
        <v>4611351</v>
      </c>
      <c r="C29" s="103" t="s">
        <v>216</v>
      </c>
      <c r="D29" s="102"/>
      <c r="E29" s="102">
        <f>SUM(E30:E31)</f>
        <v>83210</v>
      </c>
      <c r="F29" s="104"/>
      <c r="G29" s="104"/>
      <c r="H29" s="93">
        <f>E29</f>
        <v>83210</v>
      </c>
      <c r="I29" s="97"/>
    </row>
    <row r="30" spans="1:9" ht="15.75" customHeight="1">
      <c r="A30" s="669"/>
      <c r="B30" s="93">
        <v>4611351</v>
      </c>
      <c r="C30" s="94" t="s">
        <v>176</v>
      </c>
      <c r="D30" s="93"/>
      <c r="E30" s="93">
        <f>'盈虧撥補'!L8</f>
        <v>83210</v>
      </c>
      <c r="F30" s="95"/>
      <c r="G30" s="95"/>
      <c r="H30" s="93">
        <f aca="true" t="shared" si="2" ref="H30:H48">E30</f>
        <v>83210</v>
      </c>
      <c r="I30" s="97"/>
    </row>
    <row r="31" spans="1:9" ht="15.75" customHeight="1">
      <c r="A31" s="669"/>
      <c r="B31" s="108">
        <f>'盈虧撥補'!I9</f>
        <v>0</v>
      </c>
      <c r="C31" s="94" t="s">
        <v>177</v>
      </c>
      <c r="D31" s="93"/>
      <c r="E31" s="108">
        <f>'盈虧撥補'!L9</f>
        <v>0</v>
      </c>
      <c r="F31" s="109"/>
      <c r="G31" s="109"/>
      <c r="H31" s="108">
        <f t="shared" si="2"/>
        <v>0</v>
      </c>
      <c r="I31" s="97"/>
    </row>
    <row r="32" spans="1:9" ht="15.75" customHeight="1">
      <c r="A32" s="669"/>
      <c r="B32" s="93">
        <f>B33</f>
        <v>4611351</v>
      </c>
      <c r="C32" s="106" t="s">
        <v>179</v>
      </c>
      <c r="D32" s="93"/>
      <c r="E32" s="93">
        <f>E33</f>
        <v>83210</v>
      </c>
      <c r="F32" s="95"/>
      <c r="G32" s="95"/>
      <c r="H32" s="93">
        <f t="shared" si="2"/>
        <v>83210</v>
      </c>
      <c r="I32" s="97"/>
    </row>
    <row r="33" spans="1:9" ht="15.75" customHeight="1">
      <c r="A33" s="669"/>
      <c r="B33" s="93">
        <f>SUM(B34:B36)</f>
        <v>4611351</v>
      </c>
      <c r="C33" s="106" t="s">
        <v>214</v>
      </c>
      <c r="D33" s="93"/>
      <c r="E33" s="93">
        <f>SUM(E34:E36)</f>
        <v>83210</v>
      </c>
      <c r="F33" s="95"/>
      <c r="G33" s="95"/>
      <c r="H33" s="93">
        <f t="shared" si="2"/>
        <v>83210</v>
      </c>
      <c r="I33" s="97"/>
    </row>
    <row r="34" spans="1:9" ht="15.75" customHeight="1">
      <c r="A34" s="670"/>
      <c r="B34" s="93">
        <v>4611351</v>
      </c>
      <c r="C34" s="106" t="s">
        <v>407</v>
      </c>
      <c r="D34" s="93"/>
      <c r="E34" s="93">
        <f>'盈虧撥補'!L19</f>
        <v>83210</v>
      </c>
      <c r="F34" s="95"/>
      <c r="G34" s="95"/>
      <c r="H34" s="93">
        <f t="shared" si="2"/>
        <v>83210</v>
      </c>
      <c r="I34" s="97"/>
    </row>
    <row r="35" spans="1:9" ht="15.75" customHeight="1">
      <c r="A35" s="670"/>
      <c r="B35" s="107">
        <f>'盈虧撥補'!I21</f>
        <v>0</v>
      </c>
      <c r="C35" s="106" t="s">
        <v>259</v>
      </c>
      <c r="D35" s="93"/>
      <c r="E35" s="107">
        <f>'盈虧撥補'!L21</f>
        <v>0</v>
      </c>
      <c r="F35" s="112"/>
      <c r="G35" s="112"/>
      <c r="H35" s="107">
        <f t="shared" si="2"/>
        <v>0</v>
      </c>
      <c r="I35" s="97"/>
    </row>
    <row r="36" spans="1:9" ht="15.75" customHeight="1">
      <c r="A36" s="670"/>
      <c r="B36" s="107">
        <f>'盈虧撥補'!I23</f>
        <v>0</v>
      </c>
      <c r="C36" s="106" t="s">
        <v>215</v>
      </c>
      <c r="D36" s="93"/>
      <c r="E36" s="107">
        <f>'盈虧撥補'!L23</f>
        <v>0</v>
      </c>
      <c r="F36" s="112"/>
      <c r="G36" s="112"/>
      <c r="H36" s="107">
        <f t="shared" si="2"/>
        <v>0</v>
      </c>
      <c r="I36" s="97"/>
    </row>
    <row r="37" spans="1:9" ht="15.75" customHeight="1">
      <c r="A37" s="670"/>
      <c r="B37" s="93">
        <f>SUM(B38:B39)</f>
        <v>33053836</v>
      </c>
      <c r="C37" s="94" t="s">
        <v>23</v>
      </c>
      <c r="D37" s="93">
        <f>SUM(D38:D39)</f>
        <v>59894000</v>
      </c>
      <c r="E37" s="93">
        <f>SUM(E38:E39)</f>
        <v>28481173</v>
      </c>
      <c r="F37" s="95"/>
      <c r="G37" s="95"/>
      <c r="H37" s="93">
        <f t="shared" si="2"/>
        <v>28481173</v>
      </c>
      <c r="I37" s="97"/>
    </row>
    <row r="38" spans="1:9" ht="15.75" customHeight="1">
      <c r="A38" s="670"/>
      <c r="B38" s="105">
        <v>0</v>
      </c>
      <c r="C38" s="94" t="s">
        <v>24</v>
      </c>
      <c r="D38" s="93">
        <v>1739000</v>
      </c>
      <c r="E38" s="107">
        <f>'盈虧撥補'!L26</f>
        <v>0</v>
      </c>
      <c r="F38" s="112"/>
      <c r="G38" s="112"/>
      <c r="H38" s="107">
        <f t="shared" si="2"/>
        <v>0</v>
      </c>
      <c r="I38" s="97"/>
    </row>
    <row r="39" spans="1:9" ht="15.75" customHeight="1">
      <c r="A39" s="670"/>
      <c r="B39" s="105">
        <v>33053836</v>
      </c>
      <c r="C39" s="94" t="s">
        <v>25</v>
      </c>
      <c r="D39" s="93">
        <v>58155000</v>
      </c>
      <c r="E39" s="93">
        <f>'盈虧撥補'!L27</f>
        <v>28481173</v>
      </c>
      <c r="F39" s="95"/>
      <c r="G39" s="95"/>
      <c r="H39" s="93">
        <f t="shared" si="2"/>
        <v>28481173</v>
      </c>
      <c r="I39" s="97"/>
    </row>
    <row r="40" spans="1:9" ht="15.75" customHeight="1">
      <c r="A40" s="670"/>
      <c r="B40" s="93">
        <f>SUM(B41:B43)</f>
        <v>33053836</v>
      </c>
      <c r="C40" s="94" t="s">
        <v>67</v>
      </c>
      <c r="D40" s="93">
        <f>SUM(D41:D43)</f>
        <v>59894000</v>
      </c>
      <c r="E40" s="93">
        <f>SUM(E41:E43)</f>
        <v>28481173</v>
      </c>
      <c r="F40" s="95"/>
      <c r="G40" s="95"/>
      <c r="H40" s="93">
        <f t="shared" si="2"/>
        <v>28481173</v>
      </c>
      <c r="I40" s="97"/>
    </row>
    <row r="41" spans="1:9" ht="15.75" customHeight="1">
      <c r="A41" s="670"/>
      <c r="B41" s="107">
        <v>0</v>
      </c>
      <c r="C41" s="94" t="s">
        <v>27</v>
      </c>
      <c r="D41" s="107">
        <v>0</v>
      </c>
      <c r="E41" s="107">
        <f>'盈虧撥補'!L30</f>
        <v>0</v>
      </c>
      <c r="F41" s="95"/>
      <c r="G41" s="95"/>
      <c r="H41" s="108">
        <f t="shared" si="2"/>
        <v>0</v>
      </c>
      <c r="I41" s="97"/>
    </row>
    <row r="42" spans="1:9" ht="15.75" customHeight="1">
      <c r="A42" s="670"/>
      <c r="B42" s="107">
        <v>0</v>
      </c>
      <c r="C42" s="94" t="s">
        <v>28</v>
      </c>
      <c r="D42" s="107">
        <v>0</v>
      </c>
      <c r="E42" s="107">
        <f>'盈虧撥補'!L31</f>
        <v>0</v>
      </c>
      <c r="F42" s="95"/>
      <c r="G42" s="95"/>
      <c r="H42" s="108">
        <f t="shared" si="2"/>
        <v>0</v>
      </c>
      <c r="I42" s="97"/>
    </row>
    <row r="43" spans="1:9" ht="15.75" customHeight="1">
      <c r="A43" s="670"/>
      <c r="B43" s="93">
        <f>SUM(B44:B48)</f>
        <v>33053836</v>
      </c>
      <c r="C43" s="94" t="s">
        <v>252</v>
      </c>
      <c r="D43" s="93">
        <f>SUM(D44:D48)</f>
        <v>59894000</v>
      </c>
      <c r="E43" s="93">
        <f>SUM(E44:E48)</f>
        <v>28481173</v>
      </c>
      <c r="F43" s="95"/>
      <c r="G43" s="95"/>
      <c r="H43" s="93">
        <f t="shared" si="2"/>
        <v>28481173</v>
      </c>
      <c r="I43" s="97"/>
    </row>
    <row r="44" spans="1:9" ht="15.75" customHeight="1">
      <c r="A44" s="670"/>
      <c r="B44" s="107">
        <v>4611351</v>
      </c>
      <c r="C44" s="94" t="s">
        <v>29</v>
      </c>
      <c r="D44" s="107">
        <v>0</v>
      </c>
      <c r="E44" s="107">
        <f>'盈虧撥補'!L33</f>
        <v>83210</v>
      </c>
      <c r="F44" s="112"/>
      <c r="G44" s="112"/>
      <c r="H44" s="93">
        <f t="shared" si="2"/>
        <v>83210</v>
      </c>
      <c r="I44" s="97"/>
    </row>
    <row r="45" spans="1:9" ht="15.75" customHeight="1">
      <c r="A45" s="670"/>
      <c r="B45" s="107">
        <v>0</v>
      </c>
      <c r="C45" s="94" t="s">
        <v>30</v>
      </c>
      <c r="D45" s="107">
        <v>0</v>
      </c>
      <c r="E45" s="107">
        <f>'盈虧撥補'!L34</f>
        <v>0</v>
      </c>
      <c r="F45" s="112"/>
      <c r="G45" s="112"/>
      <c r="H45" s="108">
        <f t="shared" si="2"/>
        <v>0</v>
      </c>
      <c r="I45" s="97"/>
    </row>
    <row r="46" spans="1:9" ht="15.75" customHeight="1">
      <c r="A46" s="670"/>
      <c r="B46" s="107">
        <v>0</v>
      </c>
      <c r="C46" s="94" t="s">
        <v>31</v>
      </c>
      <c r="D46" s="107">
        <v>0</v>
      </c>
      <c r="E46" s="107">
        <f>'盈虧撥補'!L35</f>
        <v>0</v>
      </c>
      <c r="F46" s="112"/>
      <c r="G46" s="112"/>
      <c r="H46" s="108">
        <f t="shared" si="2"/>
        <v>0</v>
      </c>
      <c r="I46" s="97"/>
    </row>
    <row r="47" spans="1:9" ht="15.75" customHeight="1">
      <c r="A47" s="670"/>
      <c r="B47" s="107">
        <v>0</v>
      </c>
      <c r="C47" s="94" t="s">
        <v>32</v>
      </c>
      <c r="D47" s="107">
        <v>0</v>
      </c>
      <c r="E47" s="107">
        <f>'盈虧撥補'!L36</f>
        <v>0</v>
      </c>
      <c r="F47" s="112"/>
      <c r="G47" s="112"/>
      <c r="H47" s="108">
        <f t="shared" si="2"/>
        <v>0</v>
      </c>
      <c r="I47" s="97"/>
    </row>
    <row r="48" spans="1:9" ht="15.75" customHeight="1">
      <c r="A48" s="670"/>
      <c r="B48" s="162">
        <v>28442485</v>
      </c>
      <c r="C48" s="94" t="s">
        <v>33</v>
      </c>
      <c r="D48" s="93">
        <v>59894000</v>
      </c>
      <c r="E48" s="93">
        <f>'盈虧撥補'!L37</f>
        <v>28397963</v>
      </c>
      <c r="F48" s="95"/>
      <c r="G48" s="95"/>
      <c r="H48" s="99">
        <f t="shared" si="2"/>
        <v>28397963</v>
      </c>
      <c r="I48" s="97"/>
    </row>
    <row r="49" spans="1:9" ht="18.75" customHeight="1">
      <c r="A49" s="668" t="s">
        <v>308</v>
      </c>
      <c r="B49" s="102"/>
      <c r="C49" s="172" t="s">
        <v>180</v>
      </c>
      <c r="D49" s="102"/>
      <c r="E49" s="102"/>
      <c r="F49" s="104"/>
      <c r="G49" s="104"/>
      <c r="H49" s="93"/>
      <c r="I49" s="97"/>
    </row>
    <row r="50" spans="1:9" ht="18.75" customHeight="1">
      <c r="A50" s="672"/>
      <c r="B50" s="96">
        <v>4611351</v>
      </c>
      <c r="C50" s="173" t="s">
        <v>217</v>
      </c>
      <c r="D50" s="93">
        <v>-1739000</v>
      </c>
      <c r="E50" s="93">
        <f>'現金機關'!G7</f>
        <v>83210</v>
      </c>
      <c r="F50" s="95"/>
      <c r="G50" s="95"/>
      <c r="H50" s="93">
        <f>E50</f>
        <v>83210</v>
      </c>
      <c r="I50" s="97"/>
    </row>
    <row r="51" spans="1:9" ht="18.75" customHeight="1">
      <c r="A51" s="672"/>
      <c r="B51" s="96">
        <v>-10460730</v>
      </c>
      <c r="C51" s="173" t="s">
        <v>218</v>
      </c>
      <c r="D51" s="93">
        <v>10608000</v>
      </c>
      <c r="E51" s="93">
        <f>'現金機關'!G8</f>
        <v>14432369</v>
      </c>
      <c r="F51" s="95"/>
      <c r="G51" s="95"/>
      <c r="H51" s="93">
        <f>E51</f>
        <v>14432369</v>
      </c>
      <c r="I51" s="97"/>
    </row>
    <row r="52" spans="1:9" ht="27" customHeight="1">
      <c r="A52" s="672"/>
      <c r="B52" s="93">
        <f>B51+B50</f>
        <v>-5849379</v>
      </c>
      <c r="C52" s="173" t="s">
        <v>321</v>
      </c>
      <c r="D52" s="93">
        <f>D51+D50</f>
        <v>8869000</v>
      </c>
      <c r="E52" s="93">
        <f>E51+E50</f>
        <v>14515579</v>
      </c>
      <c r="F52" s="95"/>
      <c r="G52" s="95"/>
      <c r="H52" s="93">
        <f>E52</f>
        <v>14515579</v>
      </c>
      <c r="I52" s="97"/>
    </row>
    <row r="53" spans="1:9" ht="18.75" customHeight="1">
      <c r="A53" s="672"/>
      <c r="B53" s="93"/>
      <c r="C53" s="173" t="s">
        <v>1</v>
      </c>
      <c r="D53" s="93"/>
      <c r="E53" s="93"/>
      <c r="F53" s="95"/>
      <c r="G53" s="95"/>
      <c r="H53" s="93"/>
      <c r="I53" s="97"/>
    </row>
    <row r="54" spans="1:9" ht="18.75" customHeight="1">
      <c r="A54" s="672"/>
      <c r="B54" s="107">
        <v>0</v>
      </c>
      <c r="C54" s="173" t="s">
        <v>232</v>
      </c>
      <c r="D54" s="107">
        <v>0</v>
      </c>
      <c r="E54" s="107">
        <f>'現金機關'!G25</f>
        <v>0</v>
      </c>
      <c r="F54" s="112"/>
      <c r="G54" s="112"/>
      <c r="H54" s="107">
        <f aca="true" t="shared" si="3" ref="H54:H66">E54</f>
        <v>0</v>
      </c>
      <c r="I54" s="97"/>
    </row>
    <row r="55" spans="1:9" ht="17.25" customHeight="1">
      <c r="A55" s="672"/>
      <c r="B55" s="93">
        <v>-100000</v>
      </c>
      <c r="C55" s="173" t="s">
        <v>219</v>
      </c>
      <c r="D55" s="107">
        <v>-980000</v>
      </c>
      <c r="E55" s="93">
        <f>'現金機關'!G23</f>
        <v>-960000</v>
      </c>
      <c r="F55" s="112"/>
      <c r="G55" s="112"/>
      <c r="H55" s="93">
        <f t="shared" si="3"/>
        <v>-960000</v>
      </c>
      <c r="I55" s="97"/>
    </row>
    <row r="56" spans="1:9" ht="18.75" customHeight="1">
      <c r="A56" s="672"/>
      <c r="B56" s="107">
        <v>0</v>
      </c>
      <c r="C56" s="173" t="s">
        <v>231</v>
      </c>
      <c r="D56" s="107">
        <v>0</v>
      </c>
      <c r="E56" s="107">
        <f>'現金機關'!G22</f>
        <v>0</v>
      </c>
      <c r="F56" s="112"/>
      <c r="G56" s="112"/>
      <c r="H56" s="107">
        <f t="shared" si="3"/>
        <v>0</v>
      </c>
      <c r="I56" s="97"/>
    </row>
    <row r="57" spans="1:9" ht="18.75" customHeight="1">
      <c r="A57" s="672"/>
      <c r="B57" s="96">
        <v>-30000</v>
      </c>
      <c r="C57" s="173" t="s">
        <v>221</v>
      </c>
      <c r="D57" s="93">
        <v>-1306000</v>
      </c>
      <c r="E57" s="93">
        <f>'現金機關'!G26</f>
        <v>-1285865</v>
      </c>
      <c r="F57" s="95"/>
      <c r="G57" s="95"/>
      <c r="H57" s="93">
        <f t="shared" si="3"/>
        <v>-1285865</v>
      </c>
      <c r="I57" s="97"/>
    </row>
    <row r="58" spans="1:9" ht="18.75" customHeight="1">
      <c r="A58" s="672"/>
      <c r="B58" s="93">
        <f>SUM(B54:B57)</f>
        <v>-130000</v>
      </c>
      <c r="C58" s="173" t="s">
        <v>222</v>
      </c>
      <c r="D58" s="93">
        <f>SUM(D54:D57)</f>
        <v>-2286000</v>
      </c>
      <c r="E58" s="93">
        <f>SUM(E54:E57)</f>
        <v>-2245865</v>
      </c>
      <c r="F58" s="95"/>
      <c r="G58" s="95"/>
      <c r="H58" s="93">
        <f t="shared" si="3"/>
        <v>-2245865</v>
      </c>
      <c r="I58" s="97"/>
    </row>
    <row r="59" spans="1:9" ht="18.75" customHeight="1">
      <c r="A59" s="672"/>
      <c r="B59" s="93" t="s">
        <v>139</v>
      </c>
      <c r="C59" s="173" t="s">
        <v>181</v>
      </c>
      <c r="D59" s="93" t="s">
        <v>546</v>
      </c>
      <c r="E59" s="93" t="s">
        <v>139</v>
      </c>
      <c r="F59" s="95"/>
      <c r="G59" s="95"/>
      <c r="H59" s="93" t="str">
        <f t="shared" si="3"/>
        <v> </v>
      </c>
      <c r="I59" s="97"/>
    </row>
    <row r="60" spans="1:9" ht="18.75" customHeight="1">
      <c r="A60" s="672"/>
      <c r="B60" s="96">
        <v>891406</v>
      </c>
      <c r="C60" s="173" t="s">
        <v>224</v>
      </c>
      <c r="D60" s="93">
        <v>1274000</v>
      </c>
      <c r="E60" s="93">
        <f>'現金機關'!G30</f>
        <v>-731209</v>
      </c>
      <c r="F60" s="95"/>
      <c r="G60" s="95"/>
      <c r="H60" s="93">
        <f t="shared" si="3"/>
        <v>-731209</v>
      </c>
      <c r="I60" s="97"/>
    </row>
    <row r="61" spans="1:9" ht="18.75" customHeight="1">
      <c r="A61" s="672"/>
      <c r="B61" s="107">
        <v>0</v>
      </c>
      <c r="C61" s="173" t="s">
        <v>230</v>
      </c>
      <c r="D61" s="107">
        <v>0</v>
      </c>
      <c r="E61" s="107">
        <f>'現金機關'!G31</f>
        <v>0</v>
      </c>
      <c r="F61" s="112"/>
      <c r="G61" s="112"/>
      <c r="H61" s="107">
        <f t="shared" si="3"/>
        <v>0</v>
      </c>
      <c r="I61" s="97"/>
    </row>
    <row r="62" spans="1:9" ht="18.75" customHeight="1">
      <c r="A62" s="672"/>
      <c r="B62" s="107">
        <v>0</v>
      </c>
      <c r="C62" s="173" t="s">
        <v>233</v>
      </c>
      <c r="D62" s="107">
        <v>0</v>
      </c>
      <c r="E62" s="107">
        <f>'現金機關'!G32</f>
        <v>0</v>
      </c>
      <c r="F62" s="112"/>
      <c r="G62" s="112"/>
      <c r="H62" s="107">
        <f t="shared" si="3"/>
        <v>0</v>
      </c>
      <c r="I62" s="97"/>
    </row>
    <row r="63" spans="1:9" ht="18" customHeight="1">
      <c r="A63" s="672"/>
      <c r="B63" s="93">
        <f>SUM(B60:B62)</f>
        <v>891406</v>
      </c>
      <c r="C63" s="173" t="s">
        <v>226</v>
      </c>
      <c r="D63" s="93">
        <f>SUM(D60:D62)</f>
        <v>1274000</v>
      </c>
      <c r="E63" s="93">
        <f>SUM(E60:E62)</f>
        <v>-731209</v>
      </c>
      <c r="F63" s="95"/>
      <c r="G63" s="95"/>
      <c r="H63" s="93">
        <f t="shared" si="3"/>
        <v>-731209</v>
      </c>
      <c r="I63" s="92"/>
    </row>
    <row r="64" spans="1:9" ht="18.75" customHeight="1">
      <c r="A64" s="672"/>
      <c r="B64" s="93">
        <f>B63+B58+B52</f>
        <v>-5087973</v>
      </c>
      <c r="C64" s="166" t="s">
        <v>46</v>
      </c>
      <c r="D64" s="93">
        <f>D63+D58+D52</f>
        <v>7857000</v>
      </c>
      <c r="E64" s="93">
        <f>E63+E58+E52</f>
        <v>11538505</v>
      </c>
      <c r="F64" s="95"/>
      <c r="G64" s="95"/>
      <c r="H64" s="93">
        <f t="shared" si="3"/>
        <v>11538505</v>
      </c>
      <c r="I64" s="116"/>
    </row>
    <row r="65" spans="1:9" ht="18.75" customHeight="1">
      <c r="A65" s="672"/>
      <c r="B65" s="96">
        <v>73667761</v>
      </c>
      <c r="C65" s="166" t="s">
        <v>227</v>
      </c>
      <c r="D65" s="93">
        <v>54098000</v>
      </c>
      <c r="E65" s="93">
        <f>'現金機關'!G37</f>
        <v>68579788</v>
      </c>
      <c r="F65" s="95"/>
      <c r="G65" s="95"/>
      <c r="H65" s="93">
        <f t="shared" si="3"/>
        <v>68579788</v>
      </c>
      <c r="I65" s="116"/>
    </row>
    <row r="66" spans="1:9" ht="18.75" customHeight="1">
      <c r="A66" s="673"/>
      <c r="B66" s="99">
        <f>B65+B64</f>
        <v>68579788</v>
      </c>
      <c r="C66" s="167" t="s">
        <v>228</v>
      </c>
      <c r="D66" s="99">
        <f>D65+D64</f>
        <v>61955000</v>
      </c>
      <c r="E66" s="99">
        <f>E65+E64</f>
        <v>80118293</v>
      </c>
      <c r="F66" s="101"/>
      <c r="G66" s="101"/>
      <c r="H66" s="99">
        <f t="shared" si="3"/>
        <v>80118293</v>
      </c>
      <c r="I66" s="116"/>
    </row>
    <row r="67" spans="1:9" ht="15" customHeight="1">
      <c r="A67" s="668" t="s">
        <v>309</v>
      </c>
      <c r="B67" s="102">
        <f>B68+B74+B82+B84</f>
        <v>116633886</v>
      </c>
      <c r="C67" s="103" t="s">
        <v>185</v>
      </c>
      <c r="D67" s="102">
        <f>D68+D74+D82+D84</f>
        <v>101311000</v>
      </c>
      <c r="E67" s="102">
        <f>E68+E74+E82+E84</f>
        <v>118466742</v>
      </c>
      <c r="F67" s="104"/>
      <c r="G67" s="104"/>
      <c r="H67" s="102">
        <f>H68+H74+H82+H84</f>
        <v>118466742</v>
      </c>
      <c r="I67" s="116"/>
    </row>
    <row r="68" spans="1:9" ht="15" customHeight="1">
      <c r="A68" s="672"/>
      <c r="B68" s="93">
        <f>SUM(B69:B73)</f>
        <v>77627959</v>
      </c>
      <c r="C68" s="117" t="s">
        <v>766</v>
      </c>
      <c r="D68" s="93">
        <f>SUM(D69:D73)</f>
        <v>69495000</v>
      </c>
      <c r="E68" s="93">
        <f>'資產機關'!L8</f>
        <v>84600228</v>
      </c>
      <c r="F68" s="95"/>
      <c r="G68" s="95"/>
      <c r="H68" s="93">
        <f>SUM(H69:H73)</f>
        <v>84600228</v>
      </c>
      <c r="I68" s="116"/>
    </row>
    <row r="69" spans="1:9" ht="15" customHeight="1">
      <c r="A69" s="672"/>
      <c r="B69" s="105">
        <v>68579788</v>
      </c>
      <c r="C69" s="118" t="s">
        <v>767</v>
      </c>
      <c r="D69" s="93">
        <v>61955000</v>
      </c>
      <c r="E69" s="93">
        <f>'資產機關'!L9</f>
        <v>80118293</v>
      </c>
      <c r="F69" s="95"/>
      <c r="G69" s="95"/>
      <c r="H69" s="93">
        <f>E69</f>
        <v>80118293</v>
      </c>
      <c r="I69" s="116"/>
    </row>
    <row r="70" spans="1:9" ht="15" customHeight="1">
      <c r="A70" s="672"/>
      <c r="B70" s="105">
        <v>5730378</v>
      </c>
      <c r="C70" s="118" t="s">
        <v>768</v>
      </c>
      <c r="D70" s="93">
        <v>5380000</v>
      </c>
      <c r="E70" s="93">
        <f>'資產機關'!L10</f>
        <v>1429236</v>
      </c>
      <c r="F70" s="95"/>
      <c r="G70" s="95"/>
      <c r="H70" s="93">
        <f>E70</f>
        <v>1429236</v>
      </c>
      <c r="I70" s="116"/>
    </row>
    <row r="71" spans="1:9" ht="15" customHeight="1">
      <c r="A71" s="672"/>
      <c r="B71" s="105">
        <v>3317793</v>
      </c>
      <c r="C71" s="118" t="s">
        <v>769</v>
      </c>
      <c r="D71" s="93">
        <v>2160000</v>
      </c>
      <c r="E71" s="93">
        <f>'資產機關'!L11</f>
        <v>2375359</v>
      </c>
      <c r="F71" s="95"/>
      <c r="G71" s="95"/>
      <c r="H71" s="93">
        <f>E71</f>
        <v>2375359</v>
      </c>
      <c r="I71" s="116"/>
    </row>
    <row r="72" spans="1:9" ht="15" customHeight="1">
      <c r="A72" s="672"/>
      <c r="B72" s="107">
        <v>0</v>
      </c>
      <c r="C72" s="118" t="s">
        <v>770</v>
      </c>
      <c r="D72" s="107">
        <v>0</v>
      </c>
      <c r="E72" s="107">
        <f>'資產機關'!L12</f>
        <v>677340</v>
      </c>
      <c r="F72" s="112"/>
      <c r="G72" s="112"/>
      <c r="H72" s="107">
        <f>E72</f>
        <v>677340</v>
      </c>
      <c r="I72" s="116"/>
    </row>
    <row r="73" spans="1:9" ht="15" customHeight="1">
      <c r="A73" s="672"/>
      <c r="B73" s="108">
        <v>0</v>
      </c>
      <c r="C73" s="118" t="s">
        <v>771</v>
      </c>
      <c r="D73" s="107">
        <v>0</v>
      </c>
      <c r="E73" s="107">
        <f>'資產機關'!L13</f>
        <v>0</v>
      </c>
      <c r="F73" s="112"/>
      <c r="G73" s="112"/>
      <c r="H73" s="107">
        <f>E73</f>
        <v>0</v>
      </c>
      <c r="I73" s="116"/>
    </row>
    <row r="74" spans="1:9" ht="15" customHeight="1">
      <c r="A74" s="672"/>
      <c r="B74" s="93">
        <f>SUM(B75:B81)</f>
        <v>38905927</v>
      </c>
      <c r="C74" s="117" t="s">
        <v>772</v>
      </c>
      <c r="D74" s="93">
        <f>SUM(D75:D81)</f>
        <v>30936000</v>
      </c>
      <c r="E74" s="93">
        <f>'資產機關'!L16</f>
        <v>32806514</v>
      </c>
      <c r="F74" s="95"/>
      <c r="G74" s="95"/>
      <c r="H74" s="93">
        <f aca="true" t="shared" si="4" ref="H74:H87">E74</f>
        <v>32806514</v>
      </c>
      <c r="I74" s="116"/>
    </row>
    <row r="75" spans="1:9" ht="15" customHeight="1">
      <c r="A75" s="672"/>
      <c r="B75" s="108">
        <v>0</v>
      </c>
      <c r="C75" s="118" t="s">
        <v>773</v>
      </c>
      <c r="D75" s="107">
        <v>0</v>
      </c>
      <c r="E75" s="107">
        <f>'資產機關'!L17</f>
        <v>0</v>
      </c>
      <c r="F75" s="112"/>
      <c r="G75" s="112"/>
      <c r="H75" s="107">
        <f t="shared" si="4"/>
        <v>0</v>
      </c>
      <c r="I75" s="116"/>
    </row>
    <row r="76" spans="1:9" ht="15" customHeight="1">
      <c r="A76" s="672"/>
      <c r="B76" s="108">
        <v>0</v>
      </c>
      <c r="C76" s="118" t="s">
        <v>774</v>
      </c>
      <c r="D76" s="107">
        <v>0</v>
      </c>
      <c r="E76" s="107">
        <f>'資產機關'!L18</f>
        <v>0</v>
      </c>
      <c r="F76" s="112"/>
      <c r="G76" s="112"/>
      <c r="H76" s="107">
        <f t="shared" si="4"/>
        <v>0</v>
      </c>
      <c r="I76" s="116"/>
    </row>
    <row r="77" spans="1:9" ht="15" customHeight="1">
      <c r="A77" s="672"/>
      <c r="B77" s="107">
        <v>29018</v>
      </c>
      <c r="C77" s="118" t="s">
        <v>775</v>
      </c>
      <c r="D77" s="107">
        <v>1015000</v>
      </c>
      <c r="E77" s="107">
        <f>'資產機關'!L19</f>
        <v>739183</v>
      </c>
      <c r="F77" s="112"/>
      <c r="G77" s="112"/>
      <c r="H77" s="107">
        <f t="shared" si="4"/>
        <v>739183</v>
      </c>
      <c r="I77" s="116"/>
    </row>
    <row r="78" spans="1:9" ht="15" customHeight="1">
      <c r="A78" s="672"/>
      <c r="B78" s="105">
        <v>2134511</v>
      </c>
      <c r="C78" s="118" t="s">
        <v>776</v>
      </c>
      <c r="D78" s="93">
        <v>1369000</v>
      </c>
      <c r="E78" s="93">
        <f>'資產機關'!L20</f>
        <v>1487185</v>
      </c>
      <c r="F78" s="95"/>
      <c r="G78" s="95"/>
      <c r="H78" s="93">
        <f t="shared" si="4"/>
        <v>1487185</v>
      </c>
      <c r="I78" s="116"/>
    </row>
    <row r="79" spans="1:9" ht="15" customHeight="1">
      <c r="A79" s="672"/>
      <c r="B79" s="105">
        <v>35673462</v>
      </c>
      <c r="C79" s="118" t="s">
        <v>777</v>
      </c>
      <c r="D79" s="93">
        <v>27730000</v>
      </c>
      <c r="E79" s="93">
        <f>'資產機關'!L21</f>
        <v>29359204</v>
      </c>
      <c r="F79" s="95"/>
      <c r="G79" s="95"/>
      <c r="H79" s="93">
        <f t="shared" si="4"/>
        <v>29359204</v>
      </c>
      <c r="I79" s="116"/>
    </row>
    <row r="80" spans="1:9" ht="15" customHeight="1">
      <c r="A80" s="672"/>
      <c r="B80" s="105">
        <v>1068936</v>
      </c>
      <c r="C80" s="118" t="s">
        <v>778</v>
      </c>
      <c r="D80" s="93">
        <v>822000</v>
      </c>
      <c r="E80" s="93">
        <f>'資產機關'!L22</f>
        <v>1220942</v>
      </c>
      <c r="F80" s="95"/>
      <c r="G80" s="95"/>
      <c r="H80" s="93">
        <f t="shared" si="4"/>
        <v>1220942</v>
      </c>
      <c r="I80" s="116"/>
    </row>
    <row r="81" spans="1:9" ht="15" customHeight="1">
      <c r="A81" s="672"/>
      <c r="B81" s="107">
        <v>0</v>
      </c>
      <c r="C81" s="121" t="s">
        <v>229</v>
      </c>
      <c r="D81" s="107">
        <v>0</v>
      </c>
      <c r="E81" s="107">
        <f>'資產機關'!L24</f>
        <v>0</v>
      </c>
      <c r="F81" s="112"/>
      <c r="G81" s="112"/>
      <c r="H81" s="107">
        <f t="shared" si="4"/>
        <v>0</v>
      </c>
      <c r="I81" s="116"/>
    </row>
    <row r="82" spans="1:9" ht="15" customHeight="1">
      <c r="A82" s="672"/>
      <c r="B82" s="107">
        <f>B830</f>
        <v>0</v>
      </c>
      <c r="C82" s="117" t="s">
        <v>779</v>
      </c>
      <c r="D82" s="107">
        <f>D83</f>
        <v>880000</v>
      </c>
      <c r="E82" s="107">
        <f>'資產機關'!L25</f>
        <v>960000</v>
      </c>
      <c r="F82" s="112"/>
      <c r="G82" s="112"/>
      <c r="H82" s="107">
        <f t="shared" si="4"/>
        <v>960000</v>
      </c>
      <c r="I82" s="116"/>
    </row>
    <row r="83" spans="1:9" ht="15" customHeight="1">
      <c r="A83" s="672"/>
      <c r="B83" s="107">
        <v>0</v>
      </c>
      <c r="C83" s="118" t="s">
        <v>780</v>
      </c>
      <c r="D83" s="107">
        <v>880000</v>
      </c>
      <c r="E83" s="107">
        <f>'資產機關'!L26</f>
        <v>960000</v>
      </c>
      <c r="F83" s="112"/>
      <c r="G83" s="112"/>
      <c r="H83" s="107">
        <f t="shared" si="4"/>
        <v>960000</v>
      </c>
      <c r="I83" s="116"/>
    </row>
    <row r="84" spans="1:9" ht="15" customHeight="1">
      <c r="A84" s="672"/>
      <c r="B84" s="107">
        <f>SUM(B85:B87)</f>
        <v>100000</v>
      </c>
      <c r="C84" s="117" t="s">
        <v>781</v>
      </c>
      <c r="D84" s="107">
        <f>SUM(D85:D87)</f>
        <v>0</v>
      </c>
      <c r="E84" s="107">
        <f>'資產機關'!L27</f>
        <v>100000</v>
      </c>
      <c r="F84" s="112"/>
      <c r="G84" s="112"/>
      <c r="H84" s="107">
        <f t="shared" si="4"/>
        <v>100000</v>
      </c>
      <c r="I84" s="116"/>
    </row>
    <row r="85" spans="1:9" ht="15" customHeight="1">
      <c r="A85" s="672"/>
      <c r="B85" s="107">
        <v>0</v>
      </c>
      <c r="C85" s="118" t="s">
        <v>782</v>
      </c>
      <c r="D85" s="107">
        <v>0</v>
      </c>
      <c r="E85" s="107">
        <f>'資產機關'!L28</f>
        <v>0</v>
      </c>
      <c r="F85" s="112"/>
      <c r="G85" s="112"/>
      <c r="H85" s="107">
        <f t="shared" si="4"/>
        <v>0</v>
      </c>
      <c r="I85" s="116"/>
    </row>
    <row r="86" spans="1:9" ht="15" customHeight="1">
      <c r="A86" s="672"/>
      <c r="B86" s="107">
        <v>100000</v>
      </c>
      <c r="C86" s="118" t="s">
        <v>783</v>
      </c>
      <c r="D86" s="107">
        <v>0</v>
      </c>
      <c r="E86" s="107">
        <f>'資產機關'!L29</f>
        <v>100000</v>
      </c>
      <c r="F86" s="112"/>
      <c r="G86" s="112"/>
      <c r="H86" s="107">
        <f t="shared" si="4"/>
        <v>100000</v>
      </c>
      <c r="I86" s="122"/>
    </row>
    <row r="87" spans="1:9" ht="15" customHeight="1">
      <c r="A87" s="672"/>
      <c r="B87" s="107">
        <v>0</v>
      </c>
      <c r="C87" s="118" t="s">
        <v>784</v>
      </c>
      <c r="D87" s="107">
        <v>0</v>
      </c>
      <c r="E87" s="107">
        <f>'資產機關'!L30</f>
        <v>0</v>
      </c>
      <c r="F87" s="112"/>
      <c r="G87" s="112"/>
      <c r="H87" s="107">
        <f t="shared" si="4"/>
        <v>0</v>
      </c>
      <c r="I87" s="122"/>
    </row>
    <row r="88" spans="1:9" ht="15" customHeight="1">
      <c r="A88" s="672"/>
      <c r="B88" s="93">
        <f>B67</f>
        <v>116633886</v>
      </c>
      <c r="C88" s="94" t="s">
        <v>253</v>
      </c>
      <c r="D88" s="93">
        <f>D67</f>
        <v>101311000</v>
      </c>
      <c r="E88" s="93">
        <f>'資產機關'!L31</f>
        <v>118466742</v>
      </c>
      <c r="F88" s="95"/>
      <c r="G88" s="95"/>
      <c r="H88" s="93">
        <f aca="true" t="shared" si="5" ref="H88:H96">E88</f>
        <v>118466742</v>
      </c>
      <c r="I88" s="122"/>
    </row>
    <row r="89" spans="1:9" ht="15" customHeight="1">
      <c r="A89" s="672"/>
      <c r="B89" s="93">
        <f>B90+B93+B95</f>
        <v>48163394</v>
      </c>
      <c r="C89" s="117" t="s">
        <v>785</v>
      </c>
      <c r="D89" s="93">
        <f>D90+D93+D95</f>
        <v>64351000</v>
      </c>
      <c r="E89" s="93">
        <f>'資產機關'!L32</f>
        <v>49951728</v>
      </c>
      <c r="F89" s="95"/>
      <c r="G89" s="95"/>
      <c r="H89" s="93">
        <f t="shared" si="5"/>
        <v>49951728</v>
      </c>
      <c r="I89" s="122"/>
    </row>
    <row r="90" spans="1:9" ht="15" customHeight="1">
      <c r="A90" s="672"/>
      <c r="B90" s="93">
        <f>B91+B92</f>
        <v>6314025</v>
      </c>
      <c r="C90" s="117" t="s">
        <v>786</v>
      </c>
      <c r="D90" s="93">
        <f>D91+D92</f>
        <v>2608000</v>
      </c>
      <c r="E90" s="93">
        <f>'資產機關'!L33</f>
        <v>11415558</v>
      </c>
      <c r="F90" s="95"/>
      <c r="G90" s="95"/>
      <c r="H90" s="93">
        <f t="shared" si="5"/>
        <v>11415558</v>
      </c>
      <c r="I90" s="122"/>
    </row>
    <row r="91" spans="1:9" ht="15" customHeight="1">
      <c r="A91" s="672"/>
      <c r="B91" s="105">
        <v>6314025</v>
      </c>
      <c r="C91" s="118" t="s">
        <v>787</v>
      </c>
      <c r="D91" s="93">
        <v>2608000</v>
      </c>
      <c r="E91" s="93">
        <f>'資產機關'!L34</f>
        <v>11415558</v>
      </c>
      <c r="F91" s="95"/>
      <c r="G91" s="95"/>
      <c r="H91" s="93">
        <f t="shared" si="5"/>
        <v>11415558</v>
      </c>
      <c r="I91" s="122"/>
    </row>
    <row r="92" spans="1:9" ht="15" customHeight="1">
      <c r="A92" s="672"/>
      <c r="B92" s="107">
        <v>0</v>
      </c>
      <c r="C92" s="118" t="s">
        <v>788</v>
      </c>
      <c r="D92" s="107">
        <v>0</v>
      </c>
      <c r="E92" s="108">
        <f>'資產機關'!L35</f>
        <v>0</v>
      </c>
      <c r="F92" s="95"/>
      <c r="G92" s="95"/>
      <c r="H92" s="108">
        <f t="shared" si="5"/>
        <v>0</v>
      </c>
      <c r="I92" s="122"/>
    </row>
    <row r="93" spans="1:9" ht="15" customHeight="1">
      <c r="A93" s="672"/>
      <c r="B93" s="93">
        <f>B94</f>
        <v>7770590</v>
      </c>
      <c r="C93" s="117" t="s">
        <v>789</v>
      </c>
      <c r="D93" s="93">
        <f>D94</f>
        <v>26482000</v>
      </c>
      <c r="E93" s="93">
        <f>'資產機關'!L37</f>
        <v>10902880</v>
      </c>
      <c r="F93" s="95"/>
      <c r="G93" s="95"/>
      <c r="H93" s="93">
        <f t="shared" si="5"/>
        <v>10902880</v>
      </c>
      <c r="I93" s="122"/>
    </row>
    <row r="94" spans="1:9" ht="15" customHeight="1">
      <c r="A94" s="672"/>
      <c r="B94" s="105">
        <v>7770590</v>
      </c>
      <c r="C94" s="118" t="s">
        <v>790</v>
      </c>
      <c r="D94" s="93">
        <v>26482000</v>
      </c>
      <c r="E94" s="93">
        <f>'資產機關'!L38</f>
        <v>10902880</v>
      </c>
      <c r="F94" s="95"/>
      <c r="G94" s="95"/>
      <c r="H94" s="93">
        <f t="shared" si="5"/>
        <v>10902880</v>
      </c>
      <c r="I94" s="122"/>
    </row>
    <row r="95" spans="1:9" ht="15" customHeight="1">
      <c r="A95" s="672"/>
      <c r="B95" s="93">
        <f>B96+B97+B98</f>
        <v>34078779</v>
      </c>
      <c r="C95" s="117" t="s">
        <v>791</v>
      </c>
      <c r="D95" s="93">
        <f>SUM(D96:D98)</f>
        <v>35261000</v>
      </c>
      <c r="E95" s="93">
        <f>'資產機關'!L39</f>
        <v>27633290</v>
      </c>
      <c r="F95" s="95"/>
      <c r="G95" s="95"/>
      <c r="H95" s="93">
        <f t="shared" si="5"/>
        <v>27633290</v>
      </c>
      <c r="I95" s="122"/>
    </row>
    <row r="96" spans="1:9" ht="15" customHeight="1">
      <c r="A96" s="672"/>
      <c r="B96" s="129">
        <v>0</v>
      </c>
      <c r="C96" s="118" t="s">
        <v>792</v>
      </c>
      <c r="D96" s="129">
        <v>0</v>
      </c>
      <c r="E96" s="107">
        <f>'資產機關'!L40</f>
        <v>0</v>
      </c>
      <c r="F96" s="112"/>
      <c r="G96" s="112"/>
      <c r="H96" s="107">
        <f t="shared" si="5"/>
        <v>0</v>
      </c>
      <c r="I96" s="122"/>
    </row>
    <row r="97" spans="1:9" ht="15" customHeight="1">
      <c r="A97" s="672"/>
      <c r="B97" s="105">
        <v>3602539</v>
      </c>
      <c r="C97" s="118" t="s">
        <v>793</v>
      </c>
      <c r="D97" s="93">
        <v>2811000</v>
      </c>
      <c r="E97" s="93">
        <f>'資產機關'!L41</f>
        <v>2871330</v>
      </c>
      <c r="F97" s="95"/>
      <c r="G97" s="95"/>
      <c r="H97" s="93">
        <f>E97</f>
        <v>2871330</v>
      </c>
      <c r="I97" s="122"/>
    </row>
    <row r="98" spans="1:9" ht="15" customHeight="1">
      <c r="A98" s="672"/>
      <c r="B98" s="105">
        <v>30476240</v>
      </c>
      <c r="C98" s="118" t="s">
        <v>794</v>
      </c>
      <c r="D98" s="93">
        <v>32450000</v>
      </c>
      <c r="E98" s="93">
        <f>'資產機關'!L42</f>
        <v>24761960</v>
      </c>
      <c r="F98" s="95"/>
      <c r="G98" s="95"/>
      <c r="H98" s="93">
        <f>E98</f>
        <v>24761960</v>
      </c>
      <c r="I98" s="122"/>
    </row>
    <row r="99" spans="1:9" ht="15" customHeight="1">
      <c r="A99" s="672"/>
      <c r="B99" s="93">
        <f>B100+B102+B104</f>
        <v>68470492</v>
      </c>
      <c r="C99" s="94" t="s">
        <v>250</v>
      </c>
      <c r="D99" s="93">
        <f>D100+D102+D104</f>
        <v>36960000</v>
      </c>
      <c r="E99" s="93">
        <f>'資產機關'!L43</f>
        <v>68515014</v>
      </c>
      <c r="F99" s="95"/>
      <c r="G99" s="95"/>
      <c r="H99" s="93">
        <f aca="true" t="shared" si="6" ref="H99:H107">E99</f>
        <v>68515014</v>
      </c>
      <c r="I99" s="122"/>
    </row>
    <row r="100" spans="1:9" ht="15" customHeight="1">
      <c r="A100" s="672"/>
      <c r="B100" s="93">
        <f>B101</f>
        <v>19025000</v>
      </c>
      <c r="C100" s="117" t="s">
        <v>795</v>
      </c>
      <c r="D100" s="93">
        <f>D101</f>
        <v>19025000</v>
      </c>
      <c r="E100" s="93">
        <f>'資產機關'!L44</f>
        <v>19025000</v>
      </c>
      <c r="F100" s="95"/>
      <c r="G100" s="95"/>
      <c r="H100" s="93">
        <f t="shared" si="6"/>
        <v>19025000</v>
      </c>
      <c r="I100" s="122"/>
    </row>
    <row r="101" spans="1:9" ht="15" customHeight="1">
      <c r="A101" s="672"/>
      <c r="B101" s="93">
        <v>19025000</v>
      </c>
      <c r="C101" s="118" t="s">
        <v>796</v>
      </c>
      <c r="D101" s="93">
        <v>19025000</v>
      </c>
      <c r="E101" s="93">
        <f>'資產機關'!L45</f>
        <v>19025000</v>
      </c>
      <c r="F101" s="95"/>
      <c r="G101" s="95"/>
      <c r="H101" s="93">
        <f t="shared" si="6"/>
        <v>19025000</v>
      </c>
      <c r="I101" s="122"/>
    </row>
    <row r="102" spans="1:9" ht="15" customHeight="1">
      <c r="A102" s="672"/>
      <c r="B102" s="93">
        <f>B103</f>
        <v>75720465</v>
      </c>
      <c r="C102" s="117" t="s">
        <v>797</v>
      </c>
      <c r="D102" s="93">
        <f>D103</f>
        <v>75662000</v>
      </c>
      <c r="E102" s="93">
        <f>'資產機關'!L46</f>
        <v>75720465</v>
      </c>
      <c r="F102" s="95"/>
      <c r="G102" s="95"/>
      <c r="H102" s="93">
        <f t="shared" si="6"/>
        <v>75720465</v>
      </c>
      <c r="I102" s="122"/>
    </row>
    <row r="103" spans="1:9" ht="15" customHeight="1">
      <c r="A103" s="672"/>
      <c r="B103" s="93">
        <v>75720465</v>
      </c>
      <c r="C103" s="118" t="s">
        <v>798</v>
      </c>
      <c r="D103" s="93">
        <v>75662000</v>
      </c>
      <c r="E103" s="93">
        <f>'資產機關'!L47</f>
        <v>75720465</v>
      </c>
      <c r="F103" s="95"/>
      <c r="G103" s="95"/>
      <c r="H103" s="93">
        <f t="shared" si="6"/>
        <v>75720465</v>
      </c>
      <c r="I103" s="122"/>
    </row>
    <row r="104" spans="1:9" ht="15" customHeight="1">
      <c r="A104" s="672"/>
      <c r="B104" s="93">
        <f>SUM(B105:B107)</f>
        <v>-26274973</v>
      </c>
      <c r="C104" s="117" t="s">
        <v>799</v>
      </c>
      <c r="D104" s="93">
        <f>D105+D106+D107</f>
        <v>-57727000</v>
      </c>
      <c r="E104" s="93">
        <f>'資產機關'!L48</f>
        <v>-26230451</v>
      </c>
      <c r="F104" s="95"/>
      <c r="G104" s="95"/>
      <c r="H104" s="93">
        <f t="shared" si="6"/>
        <v>-26230451</v>
      </c>
      <c r="I104" s="122"/>
    </row>
    <row r="105" spans="1:9" ht="15" customHeight="1">
      <c r="A105" s="672"/>
      <c r="B105" s="93">
        <v>2167512</v>
      </c>
      <c r="C105" s="118" t="s">
        <v>800</v>
      </c>
      <c r="D105" s="93">
        <v>2167000</v>
      </c>
      <c r="E105" s="93">
        <f>'資產機關'!L49</f>
        <v>2167512</v>
      </c>
      <c r="F105" s="95"/>
      <c r="G105" s="95"/>
      <c r="H105" s="93">
        <f t="shared" si="6"/>
        <v>2167512</v>
      </c>
      <c r="I105" s="122"/>
    </row>
    <row r="106" spans="1:9" ht="15" customHeight="1">
      <c r="A106" s="672"/>
      <c r="B106" s="107">
        <v>0</v>
      </c>
      <c r="C106" s="118" t="s">
        <v>801</v>
      </c>
      <c r="D106" s="107">
        <v>0</v>
      </c>
      <c r="E106" s="107">
        <f>'資產機關'!L50</f>
        <v>0</v>
      </c>
      <c r="F106" s="112"/>
      <c r="G106" s="112"/>
      <c r="H106" s="107">
        <f t="shared" si="6"/>
        <v>0</v>
      </c>
      <c r="I106" s="122"/>
    </row>
    <row r="107" spans="1:9" ht="15" customHeight="1">
      <c r="A107" s="672"/>
      <c r="B107" s="96">
        <v>-28442485</v>
      </c>
      <c r="C107" s="121" t="s">
        <v>467</v>
      </c>
      <c r="D107" s="93">
        <v>-59894000</v>
      </c>
      <c r="E107" s="93">
        <f>'資產機關'!L51</f>
        <v>-28397963</v>
      </c>
      <c r="F107" s="95"/>
      <c r="G107" s="95"/>
      <c r="H107" s="93">
        <f t="shared" si="6"/>
        <v>-28397963</v>
      </c>
      <c r="I107" s="122"/>
    </row>
    <row r="108" spans="1:8" ht="15" customHeight="1">
      <c r="A108" s="673"/>
      <c r="B108" s="131">
        <f>B99+B89</f>
        <v>116633886</v>
      </c>
      <c r="C108" s="132" t="s">
        <v>251</v>
      </c>
      <c r="D108" s="131">
        <f>D99+D89</f>
        <v>101311000</v>
      </c>
      <c r="E108" s="131">
        <f>E99+E89</f>
        <v>118466742</v>
      </c>
      <c r="F108" s="131"/>
      <c r="G108" s="131"/>
      <c r="H108" s="99">
        <f>E108</f>
        <v>118466742</v>
      </c>
    </row>
  </sheetData>
  <sheetProtection/>
  <mergeCells count="12">
    <mergeCell ref="A1:H1"/>
    <mergeCell ref="C2:F2"/>
    <mergeCell ref="F3:G3"/>
    <mergeCell ref="H3:H4"/>
    <mergeCell ref="A3:A4"/>
    <mergeCell ref="C3:C4"/>
    <mergeCell ref="D3:D4"/>
    <mergeCell ref="E3:E4"/>
    <mergeCell ref="A5:A28"/>
    <mergeCell ref="A29:A48"/>
    <mergeCell ref="A49:A66"/>
    <mergeCell ref="A67:A108"/>
  </mergeCells>
  <printOptions horizontalCentered="1" verticalCentered="1"/>
  <pageMargins left="0.5118110236220472" right="0.5118110236220472" top="0.5905511811023623" bottom="0.5905511811023623" header="0" footer="0.31496062992125984"/>
  <pageSetup firstPageNumber="51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28" max="255" man="1"/>
    <brk id="6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3" sqref="C73"/>
    </sheetView>
  </sheetViews>
  <sheetFormatPr defaultColWidth="9.00390625" defaultRowHeight="16.5"/>
  <cols>
    <col min="1" max="1" width="5.25390625" style="53" customWidth="1"/>
    <col min="2" max="2" width="10.375" style="53" customWidth="1"/>
    <col min="3" max="3" width="29.375" style="53" customWidth="1"/>
    <col min="4" max="5" width="10.625" style="53" customWidth="1"/>
    <col min="6" max="6" width="4.625" style="53" customWidth="1"/>
    <col min="7" max="7" width="5.375" style="53" customWidth="1"/>
    <col min="8" max="8" width="10.625" style="53" customWidth="1"/>
    <col min="9" max="16384" width="9.00390625" style="53" customWidth="1"/>
  </cols>
  <sheetData>
    <row r="1" spans="1:8" ht="30.75" customHeight="1">
      <c r="A1" s="662" t="s">
        <v>441</v>
      </c>
      <c r="B1" s="662"/>
      <c r="C1" s="662"/>
      <c r="D1" s="662"/>
      <c r="E1" s="662"/>
      <c r="F1" s="662"/>
      <c r="G1" s="662"/>
      <c r="H1" s="662"/>
    </row>
    <row r="2" spans="1:8" ht="30.75" customHeight="1">
      <c r="A2" s="81" t="s">
        <v>350</v>
      </c>
      <c r="B2" s="168"/>
      <c r="C2" s="675" t="s">
        <v>566</v>
      </c>
      <c r="D2" s="675"/>
      <c r="E2" s="675"/>
      <c r="F2" s="675"/>
      <c r="G2" s="168"/>
      <c r="H2" s="177" t="s">
        <v>99</v>
      </c>
    </row>
    <row r="3" spans="1:8" ht="27" customHeight="1">
      <c r="A3" s="666" t="s">
        <v>161</v>
      </c>
      <c r="B3" s="178" t="s">
        <v>162</v>
      </c>
      <c r="C3" s="679" t="s">
        <v>163</v>
      </c>
      <c r="D3" s="679" t="s">
        <v>74</v>
      </c>
      <c r="E3" s="679" t="s">
        <v>164</v>
      </c>
      <c r="F3" s="676" t="s">
        <v>165</v>
      </c>
      <c r="G3" s="677"/>
      <c r="H3" s="678" t="s">
        <v>166</v>
      </c>
    </row>
    <row r="4" spans="1:8" ht="27" customHeight="1">
      <c r="A4" s="666"/>
      <c r="B4" s="179" t="s">
        <v>96</v>
      </c>
      <c r="C4" s="679"/>
      <c r="D4" s="679"/>
      <c r="E4" s="679"/>
      <c r="F4" s="180" t="s">
        <v>167</v>
      </c>
      <c r="G4" s="180" t="s">
        <v>168</v>
      </c>
      <c r="H4" s="678"/>
    </row>
    <row r="5" spans="1:9" ht="26.25" customHeight="1">
      <c r="A5" s="668" t="s">
        <v>306</v>
      </c>
      <c r="B5" s="102"/>
      <c r="C5" s="103" t="s">
        <v>169</v>
      </c>
      <c r="D5" s="102"/>
      <c r="E5" s="102"/>
      <c r="F5" s="181"/>
      <c r="G5" s="181"/>
      <c r="H5" s="102"/>
      <c r="I5" s="92"/>
    </row>
    <row r="6" spans="1:9" ht="26.25" customHeight="1">
      <c r="A6" s="669"/>
      <c r="B6" s="93">
        <f>B7+B8</f>
        <v>386664379</v>
      </c>
      <c r="C6" s="94" t="s">
        <v>47</v>
      </c>
      <c r="D6" s="93">
        <f>D7+D8</f>
        <v>311490000</v>
      </c>
      <c r="E6" s="93">
        <f>E7+E8</f>
        <v>353399160</v>
      </c>
      <c r="F6" s="182"/>
      <c r="G6" s="182"/>
      <c r="H6" s="93">
        <f aca="true" t="shared" si="0" ref="H6:H17">E6</f>
        <v>353399160</v>
      </c>
      <c r="I6" s="92"/>
    </row>
    <row r="7" spans="1:9" ht="26.25" customHeight="1">
      <c r="A7" s="670"/>
      <c r="B7" s="105">
        <v>67938879</v>
      </c>
      <c r="C7" s="94" t="s">
        <v>49</v>
      </c>
      <c r="D7" s="93">
        <v>60877000</v>
      </c>
      <c r="E7" s="93">
        <f>'損益機關'!N9</f>
        <v>70692895</v>
      </c>
      <c r="F7" s="182"/>
      <c r="G7" s="182"/>
      <c r="H7" s="93">
        <f t="shared" si="0"/>
        <v>70692895</v>
      </c>
      <c r="I7" s="97"/>
    </row>
    <row r="8" spans="1:9" ht="26.25" customHeight="1">
      <c r="A8" s="670"/>
      <c r="B8" s="105">
        <v>318725500</v>
      </c>
      <c r="C8" s="94" t="s">
        <v>197</v>
      </c>
      <c r="D8" s="93">
        <v>250613000</v>
      </c>
      <c r="E8" s="93">
        <f>'損益機關'!N12</f>
        <v>282706265</v>
      </c>
      <c r="F8" s="182"/>
      <c r="G8" s="182"/>
      <c r="H8" s="93">
        <f t="shared" si="0"/>
        <v>282706265</v>
      </c>
      <c r="I8" s="97"/>
    </row>
    <row r="9" spans="1:9" ht="26.25" customHeight="1">
      <c r="A9" s="670"/>
      <c r="B9" s="93">
        <f>SUM(B10:B12)</f>
        <v>366022085</v>
      </c>
      <c r="C9" s="94" t="s">
        <v>52</v>
      </c>
      <c r="D9" s="93">
        <f>D10+D11+D12</f>
        <v>440718000</v>
      </c>
      <c r="E9" s="93">
        <f>E10+E11+E12</f>
        <v>394048245</v>
      </c>
      <c r="F9" s="182"/>
      <c r="G9" s="182"/>
      <c r="H9" s="93">
        <f t="shared" si="0"/>
        <v>394048245</v>
      </c>
      <c r="I9" s="97"/>
    </row>
    <row r="10" spans="1:9" ht="26.25" customHeight="1">
      <c r="A10" s="670"/>
      <c r="B10" s="108">
        <v>0</v>
      </c>
      <c r="C10" s="169" t="s">
        <v>351</v>
      </c>
      <c r="D10" s="108">
        <v>0</v>
      </c>
      <c r="E10" s="108">
        <f>'損益機關'!N15</f>
        <v>0</v>
      </c>
      <c r="F10" s="183"/>
      <c r="G10" s="183"/>
      <c r="H10" s="108">
        <f t="shared" si="0"/>
        <v>0</v>
      </c>
      <c r="I10" s="97"/>
    </row>
    <row r="11" spans="1:9" ht="26.25" customHeight="1">
      <c r="A11" s="670"/>
      <c r="B11" s="105">
        <v>298150964</v>
      </c>
      <c r="C11" s="94" t="s">
        <v>14</v>
      </c>
      <c r="D11" s="93">
        <v>357105000</v>
      </c>
      <c r="E11" s="93">
        <f>'損益機關'!N16</f>
        <v>317271283</v>
      </c>
      <c r="F11" s="182"/>
      <c r="G11" s="182"/>
      <c r="H11" s="93">
        <f t="shared" si="0"/>
        <v>317271283</v>
      </c>
      <c r="I11" s="97"/>
    </row>
    <row r="12" spans="1:9" ht="26.25" customHeight="1">
      <c r="A12" s="670"/>
      <c r="B12" s="105">
        <v>67871121</v>
      </c>
      <c r="C12" s="94" t="s">
        <v>56</v>
      </c>
      <c r="D12" s="93">
        <v>83613000</v>
      </c>
      <c r="E12" s="93">
        <f>'損益機關'!N19</f>
        <v>76776962</v>
      </c>
      <c r="F12" s="182"/>
      <c r="G12" s="182"/>
      <c r="H12" s="93">
        <f t="shared" si="0"/>
        <v>76776962</v>
      </c>
      <c r="I12" s="97"/>
    </row>
    <row r="13" spans="1:9" ht="26.25" customHeight="1">
      <c r="A13" s="670"/>
      <c r="B13" s="93">
        <f>B6-B9</f>
        <v>20642294</v>
      </c>
      <c r="C13" s="94" t="s">
        <v>170</v>
      </c>
      <c r="D13" s="93">
        <f>D6-D9</f>
        <v>-129228000</v>
      </c>
      <c r="E13" s="93">
        <f>E6-E9</f>
        <v>-40649085</v>
      </c>
      <c r="F13" s="182"/>
      <c r="G13" s="182"/>
      <c r="H13" s="93">
        <f t="shared" si="0"/>
        <v>-40649085</v>
      </c>
      <c r="I13" s="97"/>
    </row>
    <row r="14" spans="1:9" ht="26.25" customHeight="1">
      <c r="A14" s="670"/>
      <c r="B14" s="93">
        <f>SUM(B15:B17)</f>
        <v>42228818</v>
      </c>
      <c r="C14" s="94" t="s">
        <v>247</v>
      </c>
      <c r="D14" s="93">
        <f>SUM(D15:D17)</f>
        <v>61353000</v>
      </c>
      <c r="E14" s="93">
        <f>SUM(E15:E17)</f>
        <v>46178250</v>
      </c>
      <c r="F14" s="182"/>
      <c r="G14" s="182"/>
      <c r="H14" s="93">
        <f t="shared" si="0"/>
        <v>46178250</v>
      </c>
      <c r="I14" s="97"/>
    </row>
    <row r="15" spans="1:9" ht="26.25" customHeight="1">
      <c r="A15" s="670"/>
      <c r="B15" s="105">
        <v>17778455</v>
      </c>
      <c r="C15" s="94" t="s">
        <v>234</v>
      </c>
      <c r="D15" s="93">
        <v>22772000</v>
      </c>
      <c r="E15" s="93">
        <f>'損益機關'!N23</f>
        <v>18831703</v>
      </c>
      <c r="F15" s="182"/>
      <c r="G15" s="182"/>
      <c r="H15" s="93">
        <f t="shared" si="0"/>
        <v>18831703</v>
      </c>
      <c r="I15" s="97"/>
    </row>
    <row r="16" spans="1:9" ht="26.25" customHeight="1">
      <c r="A16" s="670"/>
      <c r="B16" s="105">
        <v>24450363</v>
      </c>
      <c r="C16" s="94" t="s">
        <v>172</v>
      </c>
      <c r="D16" s="93">
        <v>38581000</v>
      </c>
      <c r="E16" s="93">
        <f>'損益機關'!N24</f>
        <v>27346547</v>
      </c>
      <c r="F16" s="182"/>
      <c r="G16" s="182"/>
      <c r="H16" s="93">
        <f t="shared" si="0"/>
        <v>27346547</v>
      </c>
      <c r="I16" s="97"/>
    </row>
    <row r="17" spans="1:9" ht="26.25" customHeight="1">
      <c r="A17" s="670"/>
      <c r="B17" s="107">
        <v>0</v>
      </c>
      <c r="C17" s="161" t="s">
        <v>210</v>
      </c>
      <c r="D17" s="107">
        <v>0</v>
      </c>
      <c r="E17" s="107">
        <f>'損益機關'!N25</f>
        <v>0</v>
      </c>
      <c r="F17" s="184"/>
      <c r="G17" s="184"/>
      <c r="H17" s="107">
        <f t="shared" si="0"/>
        <v>0</v>
      </c>
      <c r="I17" s="97"/>
    </row>
    <row r="18" spans="1:9" ht="26.25" customHeight="1">
      <c r="A18" s="670"/>
      <c r="B18" s="93">
        <f>B13-B14</f>
        <v>-21586524</v>
      </c>
      <c r="C18" s="94" t="s">
        <v>248</v>
      </c>
      <c r="D18" s="93">
        <f>D13-D14</f>
        <v>-190581000</v>
      </c>
      <c r="E18" s="93">
        <f>E13-E14</f>
        <v>-86827335</v>
      </c>
      <c r="F18" s="182"/>
      <c r="G18" s="182"/>
      <c r="H18" s="93">
        <f>E18</f>
        <v>-86827335</v>
      </c>
      <c r="I18" s="97"/>
    </row>
    <row r="19" spans="1:9" ht="26.25" customHeight="1">
      <c r="A19" s="670"/>
      <c r="B19" s="93"/>
      <c r="C19" s="94" t="s">
        <v>249</v>
      </c>
      <c r="D19" s="93"/>
      <c r="E19" s="93"/>
      <c r="F19" s="182"/>
      <c r="G19" s="182"/>
      <c r="H19" s="93"/>
      <c r="I19" s="97"/>
    </row>
    <row r="20" spans="1:9" ht="26.25" customHeight="1">
      <c r="A20" s="670"/>
      <c r="B20" s="93">
        <f>B21+B22</f>
        <v>81721945</v>
      </c>
      <c r="C20" s="94" t="s">
        <v>174</v>
      </c>
      <c r="D20" s="93">
        <f>D21+D22</f>
        <v>82240000</v>
      </c>
      <c r="E20" s="93">
        <f>E21+E22</f>
        <v>81329676</v>
      </c>
      <c r="F20" s="182"/>
      <c r="G20" s="182"/>
      <c r="H20" s="93">
        <f aca="true" t="shared" si="1" ref="H20:H32">E20</f>
        <v>81329676</v>
      </c>
      <c r="I20" s="98"/>
    </row>
    <row r="21" spans="1:9" ht="26.25" customHeight="1">
      <c r="A21" s="670"/>
      <c r="B21" s="105">
        <v>463439</v>
      </c>
      <c r="C21" s="94" t="s">
        <v>61</v>
      </c>
      <c r="D21" s="93">
        <v>830000</v>
      </c>
      <c r="E21" s="93">
        <f>'損益機關'!N28</f>
        <v>274395</v>
      </c>
      <c r="F21" s="182"/>
      <c r="G21" s="182"/>
      <c r="H21" s="93">
        <f t="shared" si="1"/>
        <v>274395</v>
      </c>
      <c r="I21" s="97"/>
    </row>
    <row r="22" spans="1:9" ht="26.25" customHeight="1">
      <c r="A22" s="670"/>
      <c r="B22" s="105">
        <v>81258506</v>
      </c>
      <c r="C22" s="94" t="s">
        <v>62</v>
      </c>
      <c r="D22" s="93">
        <v>81410000</v>
      </c>
      <c r="E22" s="93">
        <f>'損益機關'!N29</f>
        <v>81055281</v>
      </c>
      <c r="F22" s="182"/>
      <c r="G22" s="182"/>
      <c r="H22" s="93">
        <f t="shared" si="1"/>
        <v>81055281</v>
      </c>
      <c r="I22" s="97"/>
    </row>
    <row r="23" spans="1:9" ht="26.25" customHeight="1">
      <c r="A23" s="670"/>
      <c r="B23" s="107">
        <f>SUM(B24:B25)</f>
        <v>49052024</v>
      </c>
      <c r="C23" s="94" t="s">
        <v>63</v>
      </c>
      <c r="D23" s="93">
        <f>SUM(D24:D25)</f>
        <v>49100000</v>
      </c>
      <c r="E23" s="107">
        <f>SUM(E24:E25)</f>
        <v>49000000</v>
      </c>
      <c r="F23" s="184"/>
      <c r="G23" s="184"/>
      <c r="H23" s="107">
        <f t="shared" si="1"/>
        <v>49000000</v>
      </c>
      <c r="I23" s="97"/>
    </row>
    <row r="24" spans="1:9" ht="26.25" customHeight="1">
      <c r="A24" s="670"/>
      <c r="B24" s="107">
        <v>0</v>
      </c>
      <c r="C24" s="94" t="s">
        <v>211</v>
      </c>
      <c r="D24" s="107">
        <v>0</v>
      </c>
      <c r="E24" s="107">
        <f>'損益機關'!N31</f>
        <v>0</v>
      </c>
      <c r="F24" s="184"/>
      <c r="G24" s="184"/>
      <c r="H24" s="107">
        <f t="shared" si="1"/>
        <v>0</v>
      </c>
      <c r="I24" s="97"/>
    </row>
    <row r="25" spans="1:9" ht="26.25" customHeight="1">
      <c r="A25" s="670"/>
      <c r="B25" s="105">
        <v>49052024</v>
      </c>
      <c r="C25" s="94" t="s">
        <v>64</v>
      </c>
      <c r="D25" s="93">
        <v>49100000</v>
      </c>
      <c r="E25" s="107">
        <f>'損益機關'!N32</f>
        <v>49000000</v>
      </c>
      <c r="F25" s="184"/>
      <c r="G25" s="184"/>
      <c r="H25" s="107">
        <f t="shared" si="1"/>
        <v>49000000</v>
      </c>
      <c r="I25" s="97"/>
    </row>
    <row r="26" spans="1:9" ht="26.25" customHeight="1">
      <c r="A26" s="670"/>
      <c r="B26" s="93">
        <f>B20-B23</f>
        <v>32669921</v>
      </c>
      <c r="C26" s="94" t="s">
        <v>173</v>
      </c>
      <c r="D26" s="93">
        <f>D20-D23</f>
        <v>33140000</v>
      </c>
      <c r="E26" s="93">
        <f>E20-E23</f>
        <v>32329676</v>
      </c>
      <c r="F26" s="182"/>
      <c r="G26" s="182"/>
      <c r="H26" s="93">
        <f t="shared" si="1"/>
        <v>32329676</v>
      </c>
      <c r="I26" s="97"/>
    </row>
    <row r="27" spans="1:9" ht="26.25" customHeight="1">
      <c r="A27" s="670"/>
      <c r="B27" s="93">
        <f>B26+B18</f>
        <v>11083397</v>
      </c>
      <c r="C27" s="94" t="s">
        <v>65</v>
      </c>
      <c r="D27" s="93">
        <f>D26+D18</f>
        <v>-157441000</v>
      </c>
      <c r="E27" s="93">
        <f>E26+E18</f>
        <v>-54497659</v>
      </c>
      <c r="F27" s="182"/>
      <c r="G27" s="182"/>
      <c r="H27" s="93">
        <f t="shared" si="1"/>
        <v>-54497659</v>
      </c>
      <c r="I27" s="97"/>
    </row>
    <row r="28" spans="1:9" ht="26.25" customHeight="1">
      <c r="A28" s="670"/>
      <c r="B28" s="107">
        <v>0</v>
      </c>
      <c r="C28" s="161" t="s">
        <v>175</v>
      </c>
      <c r="D28" s="107">
        <v>0</v>
      </c>
      <c r="E28" s="107">
        <f>'損益機關'!N35</f>
        <v>0</v>
      </c>
      <c r="F28" s="184"/>
      <c r="G28" s="184"/>
      <c r="H28" s="107">
        <f t="shared" si="1"/>
        <v>0</v>
      </c>
      <c r="I28" s="97"/>
    </row>
    <row r="29" spans="1:9" ht="26.25" customHeight="1">
      <c r="A29" s="671"/>
      <c r="B29" s="99">
        <f>B27-B28</f>
        <v>11083397</v>
      </c>
      <c r="C29" s="100" t="s">
        <v>66</v>
      </c>
      <c r="D29" s="99">
        <f>D27-D28</f>
        <v>-157441000</v>
      </c>
      <c r="E29" s="99">
        <f>E27-E28</f>
        <v>-54497659</v>
      </c>
      <c r="F29" s="185"/>
      <c r="G29" s="185"/>
      <c r="H29" s="99">
        <f t="shared" si="1"/>
        <v>-54497659</v>
      </c>
      <c r="I29" s="97"/>
    </row>
    <row r="30" spans="1:9" ht="16.5" customHeight="1">
      <c r="A30" s="668" t="s">
        <v>307</v>
      </c>
      <c r="B30" s="93">
        <f>SUM(B31:B32)</f>
        <v>11083397</v>
      </c>
      <c r="C30" s="103" t="s">
        <v>216</v>
      </c>
      <c r="D30" s="129">
        <v>0</v>
      </c>
      <c r="E30" s="186">
        <f>SUM(E31:E32)</f>
        <v>0</v>
      </c>
      <c r="F30" s="187"/>
      <c r="G30" s="187"/>
      <c r="H30" s="186">
        <f t="shared" si="1"/>
        <v>0</v>
      </c>
      <c r="I30" s="97"/>
    </row>
    <row r="31" spans="1:9" ht="16.5" customHeight="1">
      <c r="A31" s="669"/>
      <c r="B31" s="93">
        <v>11083397</v>
      </c>
      <c r="C31" s="94" t="s">
        <v>176</v>
      </c>
      <c r="D31" s="129">
        <v>0</v>
      </c>
      <c r="E31" s="120">
        <f>'盈虧撥補'!N8</f>
        <v>0</v>
      </c>
      <c r="F31" s="188"/>
      <c r="G31" s="188"/>
      <c r="H31" s="120">
        <f t="shared" si="1"/>
        <v>0</v>
      </c>
      <c r="I31" s="97"/>
    </row>
    <row r="32" spans="1:9" ht="16.5" customHeight="1">
      <c r="A32" s="669"/>
      <c r="B32" s="129">
        <v>0</v>
      </c>
      <c r="C32" s="94" t="s">
        <v>177</v>
      </c>
      <c r="D32" s="129">
        <v>0</v>
      </c>
      <c r="E32" s="120">
        <f>'盈虧撥補'!N9</f>
        <v>0</v>
      </c>
      <c r="F32" s="188"/>
      <c r="G32" s="188"/>
      <c r="H32" s="120">
        <f t="shared" si="1"/>
        <v>0</v>
      </c>
      <c r="I32" s="97"/>
    </row>
    <row r="33" spans="1:9" ht="16.5" customHeight="1">
      <c r="A33" s="669"/>
      <c r="B33" s="93">
        <f>B34</f>
        <v>11083397</v>
      </c>
      <c r="C33" s="106" t="s">
        <v>179</v>
      </c>
      <c r="D33" s="129">
        <v>0</v>
      </c>
      <c r="E33" s="120">
        <f>SUM(E34)</f>
        <v>0</v>
      </c>
      <c r="F33" s="188"/>
      <c r="G33" s="188"/>
      <c r="H33" s="120">
        <f>H34</f>
        <v>0</v>
      </c>
      <c r="I33" s="97"/>
    </row>
    <row r="34" spans="1:9" ht="16.5" customHeight="1">
      <c r="A34" s="669"/>
      <c r="B34" s="93">
        <f>SUM(B35:B36)</f>
        <v>11083397</v>
      </c>
      <c r="C34" s="106" t="s">
        <v>214</v>
      </c>
      <c r="D34" s="129">
        <v>0</v>
      </c>
      <c r="E34" s="120">
        <f>SUM(E35:E36)</f>
        <v>0</v>
      </c>
      <c r="F34" s="188"/>
      <c r="G34" s="188"/>
      <c r="H34" s="120">
        <f aca="true" t="shared" si="2" ref="H34:H40">E34</f>
        <v>0</v>
      </c>
      <c r="I34" s="97"/>
    </row>
    <row r="35" spans="1:9" ht="16.5" customHeight="1">
      <c r="A35" s="670"/>
      <c r="B35" s="93">
        <v>11083397</v>
      </c>
      <c r="C35" s="106" t="s">
        <v>407</v>
      </c>
      <c r="D35" s="129">
        <v>0</v>
      </c>
      <c r="E35" s="120">
        <f>'盈虧撥補'!N19</f>
        <v>0</v>
      </c>
      <c r="F35" s="188"/>
      <c r="G35" s="188"/>
      <c r="H35" s="120">
        <f t="shared" si="2"/>
        <v>0</v>
      </c>
      <c r="I35" s="97"/>
    </row>
    <row r="36" spans="1:9" ht="16.5" customHeight="1">
      <c r="A36" s="670"/>
      <c r="B36" s="129">
        <v>0</v>
      </c>
      <c r="C36" s="106" t="s">
        <v>215</v>
      </c>
      <c r="D36" s="129">
        <v>0</v>
      </c>
      <c r="E36" s="107">
        <f>'盈虧撥補'!N23</f>
        <v>0</v>
      </c>
      <c r="F36" s="182"/>
      <c r="G36" s="182"/>
      <c r="H36" s="107">
        <f t="shared" si="2"/>
        <v>0</v>
      </c>
      <c r="I36" s="97"/>
    </row>
    <row r="37" spans="1:9" ht="16.5" customHeight="1">
      <c r="A37" s="670"/>
      <c r="B37" s="107">
        <f>B38+B39</f>
        <v>151183271</v>
      </c>
      <c r="C37" s="94" t="s">
        <v>23</v>
      </c>
      <c r="D37" s="93">
        <f>SUM(D38:D39)</f>
        <v>414433000</v>
      </c>
      <c r="E37" s="93">
        <f>SUM(E38:E39)</f>
        <v>194597533</v>
      </c>
      <c r="F37" s="182"/>
      <c r="G37" s="182"/>
      <c r="H37" s="93">
        <f t="shared" si="2"/>
        <v>194597533</v>
      </c>
      <c r="I37" s="97"/>
    </row>
    <row r="38" spans="1:9" ht="16.5" customHeight="1">
      <c r="A38" s="670"/>
      <c r="B38" s="105">
        <v>0</v>
      </c>
      <c r="C38" s="94" t="s">
        <v>24</v>
      </c>
      <c r="D38" s="93">
        <v>157441000</v>
      </c>
      <c r="E38" s="107">
        <f>'盈虧撥補'!N26</f>
        <v>54497659</v>
      </c>
      <c r="F38" s="182"/>
      <c r="G38" s="182"/>
      <c r="H38" s="189">
        <f t="shared" si="2"/>
        <v>54497659</v>
      </c>
      <c r="I38" s="97"/>
    </row>
    <row r="39" spans="1:9" ht="16.5" customHeight="1">
      <c r="A39" s="670"/>
      <c r="B39" s="107">
        <v>151183271</v>
      </c>
      <c r="C39" s="94" t="s">
        <v>25</v>
      </c>
      <c r="D39" s="93">
        <v>256992000</v>
      </c>
      <c r="E39" s="107">
        <f>'盈虧撥補'!N27</f>
        <v>140099874</v>
      </c>
      <c r="F39" s="184"/>
      <c r="G39" s="184"/>
      <c r="H39" s="107">
        <f t="shared" si="2"/>
        <v>140099874</v>
      </c>
      <c r="I39" s="97"/>
    </row>
    <row r="40" spans="1:9" ht="16.5" customHeight="1">
      <c r="A40" s="670"/>
      <c r="B40" s="107">
        <f>B41+B42+B43</f>
        <v>151183271</v>
      </c>
      <c r="C40" s="94" t="s">
        <v>67</v>
      </c>
      <c r="D40" s="93">
        <f>SUM(D41:D43)</f>
        <v>414433000</v>
      </c>
      <c r="E40" s="93">
        <f>SUM(E41:E43)</f>
        <v>194597533</v>
      </c>
      <c r="F40" s="182"/>
      <c r="G40" s="182"/>
      <c r="H40" s="93">
        <f t="shared" si="2"/>
        <v>194597533</v>
      </c>
      <c r="I40" s="97"/>
    </row>
    <row r="41" spans="1:9" ht="16.5" customHeight="1">
      <c r="A41" s="670"/>
      <c r="B41" s="107">
        <v>0</v>
      </c>
      <c r="C41" s="94" t="s">
        <v>27</v>
      </c>
      <c r="D41" s="107">
        <v>0</v>
      </c>
      <c r="E41" s="107">
        <f>'盈虧撥補'!N30</f>
        <v>0</v>
      </c>
      <c r="F41" s="184"/>
      <c r="G41" s="184"/>
      <c r="H41" s="107">
        <f aca="true" t="shared" si="3" ref="H41:H48">E41</f>
        <v>0</v>
      </c>
      <c r="I41" s="97"/>
    </row>
    <row r="42" spans="1:9" ht="16.5" customHeight="1">
      <c r="A42" s="670"/>
      <c r="B42" s="107">
        <v>0</v>
      </c>
      <c r="C42" s="94" t="s">
        <v>28</v>
      </c>
      <c r="D42" s="107">
        <v>0</v>
      </c>
      <c r="E42" s="107">
        <f>'盈虧撥補'!N31</f>
        <v>0</v>
      </c>
      <c r="F42" s="184"/>
      <c r="G42" s="184"/>
      <c r="H42" s="107">
        <f t="shared" si="3"/>
        <v>0</v>
      </c>
      <c r="I42" s="97"/>
    </row>
    <row r="43" spans="1:9" ht="16.5" customHeight="1">
      <c r="A43" s="670"/>
      <c r="B43" s="107">
        <f>B44+B45+B46+B47+B48</f>
        <v>151183271</v>
      </c>
      <c r="C43" s="94" t="s">
        <v>252</v>
      </c>
      <c r="D43" s="93">
        <f>SUM(D44:D48)</f>
        <v>414433000</v>
      </c>
      <c r="E43" s="93">
        <f>SUM(E44:E48)</f>
        <v>194597533</v>
      </c>
      <c r="F43" s="182"/>
      <c r="G43" s="182"/>
      <c r="H43" s="93">
        <f t="shared" si="3"/>
        <v>194597533</v>
      </c>
      <c r="I43" s="97"/>
    </row>
    <row r="44" spans="1:9" ht="16.5" customHeight="1">
      <c r="A44" s="670"/>
      <c r="B44" s="107">
        <v>11083397</v>
      </c>
      <c r="C44" s="94" t="s">
        <v>29</v>
      </c>
      <c r="D44" s="108">
        <v>0</v>
      </c>
      <c r="E44" s="107">
        <f>'盈虧撥補'!N33</f>
        <v>0</v>
      </c>
      <c r="F44" s="182"/>
      <c r="G44" s="182"/>
      <c r="H44" s="107">
        <f t="shared" si="3"/>
        <v>0</v>
      </c>
      <c r="I44" s="97"/>
    </row>
    <row r="45" spans="1:9" ht="16.5" customHeight="1">
      <c r="A45" s="670"/>
      <c r="B45" s="107">
        <v>0</v>
      </c>
      <c r="C45" s="94" t="s">
        <v>30</v>
      </c>
      <c r="D45" s="108">
        <v>0</v>
      </c>
      <c r="E45" s="107">
        <f>'盈虧撥補'!N34</f>
        <v>0</v>
      </c>
      <c r="F45" s="184"/>
      <c r="G45" s="184"/>
      <c r="H45" s="107">
        <f t="shared" si="3"/>
        <v>0</v>
      </c>
      <c r="I45" s="97"/>
    </row>
    <row r="46" spans="1:9" ht="16.5" customHeight="1">
      <c r="A46" s="670"/>
      <c r="B46" s="107">
        <v>0</v>
      </c>
      <c r="C46" s="94" t="s">
        <v>31</v>
      </c>
      <c r="D46" s="108">
        <v>0</v>
      </c>
      <c r="E46" s="107">
        <f>'盈虧撥補'!N35</f>
        <v>0</v>
      </c>
      <c r="F46" s="184"/>
      <c r="G46" s="184"/>
      <c r="H46" s="107">
        <f t="shared" si="3"/>
        <v>0</v>
      </c>
      <c r="I46" s="97"/>
    </row>
    <row r="47" spans="1:9" ht="16.5" customHeight="1">
      <c r="A47" s="670"/>
      <c r="B47" s="107">
        <v>0</v>
      </c>
      <c r="C47" s="94" t="s">
        <v>32</v>
      </c>
      <c r="D47" s="108">
        <v>0</v>
      </c>
      <c r="E47" s="107">
        <f>'盈虧撥補'!N36</f>
        <v>0</v>
      </c>
      <c r="F47" s="184"/>
      <c r="G47" s="184"/>
      <c r="H47" s="107">
        <f t="shared" si="3"/>
        <v>0</v>
      </c>
      <c r="I47" s="97"/>
    </row>
    <row r="48" spans="1:9" ht="16.5" customHeight="1">
      <c r="A48" s="670"/>
      <c r="B48" s="162">
        <v>140099874</v>
      </c>
      <c r="C48" s="94" t="s">
        <v>33</v>
      </c>
      <c r="D48" s="93">
        <v>414433000</v>
      </c>
      <c r="E48" s="107">
        <f>'盈虧撥補'!N37</f>
        <v>194597533</v>
      </c>
      <c r="F48" s="184"/>
      <c r="G48" s="184"/>
      <c r="H48" s="107">
        <f t="shared" si="3"/>
        <v>194597533</v>
      </c>
      <c r="I48" s="97"/>
    </row>
    <row r="49" spans="1:9" ht="17.25" customHeight="1">
      <c r="A49" s="668" t="s">
        <v>308</v>
      </c>
      <c r="B49" s="102"/>
      <c r="C49" s="172" t="s">
        <v>180</v>
      </c>
      <c r="D49" s="190"/>
      <c r="E49" s="190"/>
      <c r="F49" s="181"/>
      <c r="G49" s="181"/>
      <c r="H49" s="102"/>
      <c r="I49" s="97"/>
    </row>
    <row r="50" spans="1:9" ht="17.25" customHeight="1">
      <c r="A50" s="672"/>
      <c r="B50" s="96">
        <v>11083397</v>
      </c>
      <c r="C50" s="173" t="s">
        <v>217</v>
      </c>
      <c r="D50" s="93">
        <v>-157441000</v>
      </c>
      <c r="E50" s="93">
        <f>'現金機關'!H7</f>
        <v>-54497659</v>
      </c>
      <c r="F50" s="182"/>
      <c r="G50" s="182"/>
      <c r="H50" s="93">
        <f>E50</f>
        <v>-54497659</v>
      </c>
      <c r="I50" s="97"/>
    </row>
    <row r="51" spans="1:9" ht="17.25" customHeight="1">
      <c r="A51" s="672"/>
      <c r="B51" s="96">
        <v>13629266</v>
      </c>
      <c r="C51" s="173" t="s">
        <v>464</v>
      </c>
      <c r="D51" s="93">
        <v>98818000</v>
      </c>
      <c r="E51" s="93">
        <f>'現金機關'!H8</f>
        <v>319480323</v>
      </c>
      <c r="F51" s="182"/>
      <c r="G51" s="182"/>
      <c r="H51" s="93">
        <f>E51</f>
        <v>319480323</v>
      </c>
      <c r="I51" s="97"/>
    </row>
    <row r="52" spans="1:9" ht="22.5" customHeight="1">
      <c r="A52" s="672"/>
      <c r="B52" s="93">
        <f>B51+B50</f>
        <v>24712663</v>
      </c>
      <c r="C52" s="173" t="s">
        <v>321</v>
      </c>
      <c r="D52" s="93">
        <f>D50+D51</f>
        <v>-58623000</v>
      </c>
      <c r="E52" s="93">
        <f>E51+E50</f>
        <v>264982664</v>
      </c>
      <c r="F52" s="182"/>
      <c r="G52" s="182"/>
      <c r="H52" s="93">
        <f>E52</f>
        <v>264982664</v>
      </c>
      <c r="I52" s="97"/>
    </row>
    <row r="53" spans="1:9" ht="17.25" customHeight="1">
      <c r="A53" s="672"/>
      <c r="B53" s="93"/>
      <c r="C53" s="173" t="s">
        <v>1</v>
      </c>
      <c r="D53" s="93"/>
      <c r="E53" s="93"/>
      <c r="F53" s="182"/>
      <c r="G53" s="182"/>
      <c r="H53" s="93"/>
      <c r="I53" s="97"/>
    </row>
    <row r="54" spans="1:9" ht="17.25" customHeight="1">
      <c r="A54" s="672"/>
      <c r="B54" s="107">
        <v>0</v>
      </c>
      <c r="C54" s="173" t="s">
        <v>232</v>
      </c>
      <c r="D54" s="107">
        <v>0</v>
      </c>
      <c r="E54" s="107">
        <f>'現金機關'!H25</f>
        <v>0</v>
      </c>
      <c r="F54" s="184"/>
      <c r="G54" s="184"/>
      <c r="H54" s="107">
        <f>E54</f>
        <v>0</v>
      </c>
      <c r="I54" s="97"/>
    </row>
    <row r="55" spans="1:9" ht="21.75" customHeight="1">
      <c r="A55" s="672"/>
      <c r="B55" s="96">
        <v>-285459768</v>
      </c>
      <c r="C55" s="173" t="s">
        <v>219</v>
      </c>
      <c r="D55" s="93">
        <v>-4910000</v>
      </c>
      <c r="E55" s="93">
        <f>'現金機關'!H23</f>
        <v>-3675000</v>
      </c>
      <c r="F55" s="182"/>
      <c r="G55" s="182"/>
      <c r="H55" s="93">
        <f>E55</f>
        <v>-3675000</v>
      </c>
      <c r="I55" s="97"/>
    </row>
    <row r="56" spans="1:9" ht="17.25" customHeight="1">
      <c r="A56" s="672"/>
      <c r="B56" s="107">
        <v>0</v>
      </c>
      <c r="C56" s="173" t="s">
        <v>231</v>
      </c>
      <c r="D56" s="107">
        <v>0</v>
      </c>
      <c r="E56" s="107">
        <f>'現金機關'!H22</f>
        <v>0</v>
      </c>
      <c r="F56" s="184"/>
      <c r="G56" s="184"/>
      <c r="H56" s="107">
        <f>E56</f>
        <v>0</v>
      </c>
      <c r="I56" s="97"/>
    </row>
    <row r="57" spans="1:9" ht="17.25" customHeight="1">
      <c r="A57" s="672"/>
      <c r="B57" s="96">
        <v>-126941999</v>
      </c>
      <c r="C57" s="173" t="s">
        <v>221</v>
      </c>
      <c r="D57" s="93">
        <v>-791162000</v>
      </c>
      <c r="E57" s="93">
        <f>'現金機關'!H26</f>
        <v>-320135137</v>
      </c>
      <c r="F57" s="182"/>
      <c r="G57" s="182"/>
      <c r="H57" s="93">
        <f>E57</f>
        <v>-320135137</v>
      </c>
      <c r="I57" s="97"/>
    </row>
    <row r="58" spans="1:9" ht="24" customHeight="1">
      <c r="A58" s="672"/>
      <c r="B58" s="93">
        <f>SUM(B54:B57)</f>
        <v>-412401767</v>
      </c>
      <c r="C58" s="173" t="s">
        <v>222</v>
      </c>
      <c r="D58" s="93">
        <f>SUM(D54:D57)</f>
        <v>-796072000</v>
      </c>
      <c r="E58" s="93">
        <f>SUM(E54:E57)</f>
        <v>-323810137</v>
      </c>
      <c r="F58" s="182"/>
      <c r="G58" s="182"/>
      <c r="H58" s="93">
        <f aca="true" t="shared" si="4" ref="H58:H67">E58</f>
        <v>-323810137</v>
      </c>
      <c r="I58" s="97"/>
    </row>
    <row r="59" spans="1:9" ht="17.25" customHeight="1">
      <c r="A59" s="672"/>
      <c r="B59" s="93" t="s">
        <v>139</v>
      </c>
      <c r="C59" s="173" t="s">
        <v>181</v>
      </c>
      <c r="D59" s="93" t="s">
        <v>139</v>
      </c>
      <c r="E59" s="93" t="s">
        <v>139</v>
      </c>
      <c r="F59" s="182"/>
      <c r="G59" s="182"/>
      <c r="H59" s="93" t="str">
        <f t="shared" si="4"/>
        <v> </v>
      </c>
      <c r="I59" s="97"/>
    </row>
    <row r="60" spans="1:9" ht="17.25" customHeight="1">
      <c r="A60" s="672"/>
      <c r="B60" s="107">
        <v>0</v>
      </c>
      <c r="C60" s="173" t="s">
        <v>548</v>
      </c>
      <c r="D60" s="93">
        <v>930243000</v>
      </c>
      <c r="E60" s="93"/>
      <c r="F60" s="182"/>
      <c r="G60" s="182"/>
      <c r="H60" s="107">
        <f>E60</f>
        <v>0</v>
      </c>
      <c r="I60" s="97"/>
    </row>
    <row r="61" spans="1:9" ht="17.25" customHeight="1">
      <c r="A61" s="672"/>
      <c r="B61" s="113">
        <v>254176383</v>
      </c>
      <c r="C61" s="173" t="s">
        <v>224</v>
      </c>
      <c r="D61" s="107">
        <v>77443000</v>
      </c>
      <c r="E61" s="93">
        <f>'現金機關'!H30</f>
        <v>12679546</v>
      </c>
      <c r="F61" s="182"/>
      <c r="G61" s="182"/>
      <c r="H61" s="93">
        <f t="shared" si="4"/>
        <v>12679546</v>
      </c>
      <c r="I61" s="97"/>
    </row>
    <row r="62" spans="1:9" ht="17.25" customHeight="1">
      <c r="A62" s="672"/>
      <c r="B62" s="105">
        <v>0</v>
      </c>
      <c r="C62" s="173" t="s">
        <v>230</v>
      </c>
      <c r="D62" s="107">
        <v>0</v>
      </c>
      <c r="E62" s="107">
        <f>'現金機關'!H31</f>
        <v>0</v>
      </c>
      <c r="F62" s="184"/>
      <c r="G62" s="184"/>
      <c r="H62" s="107">
        <f t="shared" si="4"/>
        <v>0</v>
      </c>
      <c r="I62" s="97"/>
    </row>
    <row r="63" spans="1:9" ht="17.25" customHeight="1">
      <c r="A63" s="672"/>
      <c r="B63" s="107">
        <v>0</v>
      </c>
      <c r="C63" s="173" t="s">
        <v>233</v>
      </c>
      <c r="D63" s="107">
        <v>0</v>
      </c>
      <c r="E63" s="107">
        <f>'現金機關'!H32</f>
        <v>0</v>
      </c>
      <c r="F63" s="184"/>
      <c r="G63" s="184"/>
      <c r="H63" s="107">
        <f t="shared" si="4"/>
        <v>0</v>
      </c>
      <c r="I63" s="97"/>
    </row>
    <row r="64" spans="1:9" ht="24" customHeight="1">
      <c r="A64" s="672"/>
      <c r="B64" s="93">
        <f>SUM(B60:B63)</f>
        <v>254176383</v>
      </c>
      <c r="C64" s="173" t="s">
        <v>226</v>
      </c>
      <c r="D64" s="107">
        <f>SUM(D60:D63)</f>
        <v>1007686000</v>
      </c>
      <c r="E64" s="93">
        <f>SUM(E60:E63)</f>
        <v>12679546</v>
      </c>
      <c r="F64" s="182"/>
      <c r="G64" s="182"/>
      <c r="H64" s="93">
        <f t="shared" si="4"/>
        <v>12679546</v>
      </c>
      <c r="I64" s="92"/>
    </row>
    <row r="65" spans="1:9" ht="17.25" customHeight="1">
      <c r="A65" s="672"/>
      <c r="B65" s="93">
        <f>B64+B58+B52</f>
        <v>-133512721</v>
      </c>
      <c r="C65" s="166" t="s">
        <v>46</v>
      </c>
      <c r="D65" s="93">
        <f>D64+D58+D52</f>
        <v>152991000</v>
      </c>
      <c r="E65" s="93">
        <f>E64+E58+E52</f>
        <v>-46147927</v>
      </c>
      <c r="F65" s="182"/>
      <c r="G65" s="182"/>
      <c r="H65" s="93">
        <f t="shared" si="4"/>
        <v>-46147927</v>
      </c>
      <c r="I65" s="116"/>
    </row>
    <row r="66" spans="1:9" ht="17.25" customHeight="1">
      <c r="A66" s="672"/>
      <c r="B66" s="96">
        <v>393830940</v>
      </c>
      <c r="C66" s="166" t="s">
        <v>227</v>
      </c>
      <c r="D66" s="93">
        <v>163903000</v>
      </c>
      <c r="E66" s="93">
        <f>'現金機關'!H37</f>
        <v>260318219</v>
      </c>
      <c r="F66" s="182"/>
      <c r="G66" s="182"/>
      <c r="H66" s="93">
        <f t="shared" si="4"/>
        <v>260318219</v>
      </c>
      <c r="I66" s="116"/>
    </row>
    <row r="67" spans="1:9" ht="17.25" customHeight="1">
      <c r="A67" s="673"/>
      <c r="B67" s="99">
        <f>B66+B65</f>
        <v>260318219</v>
      </c>
      <c r="C67" s="167" t="s">
        <v>228</v>
      </c>
      <c r="D67" s="99">
        <f>D66+D65</f>
        <v>316894000</v>
      </c>
      <c r="E67" s="99">
        <f>E66+E65</f>
        <v>214170292</v>
      </c>
      <c r="F67" s="185"/>
      <c r="G67" s="185"/>
      <c r="H67" s="99">
        <f t="shared" si="4"/>
        <v>214170292</v>
      </c>
      <c r="I67" s="116"/>
    </row>
    <row r="68" spans="1:9" ht="15.75" customHeight="1">
      <c r="A68" s="668" t="s">
        <v>309</v>
      </c>
      <c r="B68" s="102">
        <f>B69+B75+B83+B85</f>
        <v>4560061618</v>
      </c>
      <c r="C68" s="103" t="s">
        <v>185</v>
      </c>
      <c r="D68" s="102">
        <f>D69+D75+D83+D85</f>
        <v>5154218000</v>
      </c>
      <c r="E68" s="102">
        <f>E69+E75+E83+E85</f>
        <v>4685811539</v>
      </c>
      <c r="F68" s="181"/>
      <c r="G68" s="181"/>
      <c r="H68" s="102">
        <f>H69+H75+H83+H85</f>
        <v>4685811539</v>
      </c>
      <c r="I68" s="116"/>
    </row>
    <row r="69" spans="1:9" ht="15.75" customHeight="1">
      <c r="A69" s="672"/>
      <c r="B69" s="93">
        <f>SUM(B70:B74)</f>
        <v>479972591</v>
      </c>
      <c r="C69" s="117" t="s">
        <v>802</v>
      </c>
      <c r="D69" s="93">
        <f>SUM(D70:D74)</f>
        <v>506341000</v>
      </c>
      <c r="E69" s="93">
        <f>'資產機關'!N8</f>
        <v>393531628</v>
      </c>
      <c r="F69" s="182"/>
      <c r="G69" s="182"/>
      <c r="H69" s="93">
        <f>E69</f>
        <v>393531628</v>
      </c>
      <c r="I69" s="116"/>
    </row>
    <row r="70" spans="1:9" ht="15.75" customHeight="1">
      <c r="A70" s="672"/>
      <c r="B70" s="105">
        <v>260318219</v>
      </c>
      <c r="C70" s="118" t="s">
        <v>803</v>
      </c>
      <c r="D70" s="93">
        <v>316894000</v>
      </c>
      <c r="E70" s="93">
        <f>'資產機關'!N9</f>
        <v>214170292</v>
      </c>
      <c r="F70" s="182"/>
      <c r="G70" s="182"/>
      <c r="H70" s="93">
        <f aca="true" t="shared" si="5" ref="H70:H106">E70</f>
        <v>214170292</v>
      </c>
      <c r="I70" s="116"/>
    </row>
    <row r="71" spans="1:9" ht="15.75" customHeight="1">
      <c r="A71" s="672"/>
      <c r="B71" s="105">
        <v>192694274</v>
      </c>
      <c r="C71" s="118" t="s">
        <v>804</v>
      </c>
      <c r="D71" s="93">
        <v>161314000</v>
      </c>
      <c r="E71" s="93">
        <f>'資產機關'!N10</f>
        <v>149576844</v>
      </c>
      <c r="F71" s="182"/>
      <c r="G71" s="182"/>
      <c r="H71" s="93">
        <f t="shared" si="5"/>
        <v>149576844</v>
      </c>
      <c r="I71" s="116"/>
    </row>
    <row r="72" spans="1:9" ht="15.75" customHeight="1">
      <c r="A72" s="672"/>
      <c r="B72" s="191">
        <v>26761833</v>
      </c>
      <c r="C72" s="118" t="s">
        <v>805</v>
      </c>
      <c r="D72" s="93">
        <v>27208000</v>
      </c>
      <c r="E72" s="93">
        <f>'資產機關'!N11</f>
        <v>27147193</v>
      </c>
      <c r="F72" s="182"/>
      <c r="G72" s="182"/>
      <c r="H72" s="93">
        <f t="shared" si="5"/>
        <v>27147193</v>
      </c>
      <c r="I72" s="116"/>
    </row>
    <row r="73" spans="1:9" ht="15.75" customHeight="1">
      <c r="A73" s="672"/>
      <c r="B73" s="191">
        <v>0</v>
      </c>
      <c r="C73" s="118" t="s">
        <v>904</v>
      </c>
      <c r="D73" s="93"/>
      <c r="E73" s="93">
        <f>'資產機關'!N12</f>
        <v>179802</v>
      </c>
      <c r="F73" s="182"/>
      <c r="G73" s="182"/>
      <c r="H73" s="93">
        <f t="shared" si="5"/>
        <v>179802</v>
      </c>
      <c r="I73" s="116"/>
    </row>
    <row r="74" spans="1:9" ht="15.75" customHeight="1">
      <c r="A74" s="672"/>
      <c r="B74" s="105">
        <v>198265</v>
      </c>
      <c r="C74" s="118" t="s">
        <v>806</v>
      </c>
      <c r="D74" s="93">
        <v>925000</v>
      </c>
      <c r="E74" s="93">
        <f>'資產機關'!N13</f>
        <v>2457497</v>
      </c>
      <c r="F74" s="182"/>
      <c r="G74" s="182"/>
      <c r="H74" s="93">
        <f t="shared" si="5"/>
        <v>2457497</v>
      </c>
      <c r="I74" s="116"/>
    </row>
    <row r="75" spans="1:9" ht="15.75" customHeight="1">
      <c r="A75" s="672"/>
      <c r="B75" s="93">
        <f>SUM(B76:B82)</f>
        <v>1891576407</v>
      </c>
      <c r="C75" s="117" t="s">
        <v>807</v>
      </c>
      <c r="D75" s="93">
        <f>SUM(D76:D82)</f>
        <v>2731172000</v>
      </c>
      <c r="E75" s="93">
        <f>'資產機關'!N16</f>
        <v>2098615198</v>
      </c>
      <c r="F75" s="182"/>
      <c r="G75" s="182"/>
      <c r="H75" s="93">
        <f t="shared" si="5"/>
        <v>2098615198</v>
      </c>
      <c r="I75" s="116"/>
    </row>
    <row r="76" spans="1:9" ht="15.75" customHeight="1">
      <c r="A76" s="672"/>
      <c r="B76" s="105">
        <v>23670987</v>
      </c>
      <c r="C76" s="118" t="s">
        <v>808</v>
      </c>
      <c r="D76" s="93">
        <v>50178000</v>
      </c>
      <c r="E76" s="93">
        <f>'資產機關'!N17</f>
        <v>23670987</v>
      </c>
      <c r="F76" s="182"/>
      <c r="G76" s="182"/>
      <c r="H76" s="93">
        <f t="shared" si="5"/>
        <v>23670987</v>
      </c>
      <c r="I76" s="116"/>
    </row>
    <row r="77" spans="1:9" ht="15.75" customHeight="1">
      <c r="A77" s="672"/>
      <c r="B77" s="105">
        <v>0</v>
      </c>
      <c r="C77" s="118" t="s">
        <v>809</v>
      </c>
      <c r="D77" s="107">
        <v>0</v>
      </c>
      <c r="E77" s="107">
        <f>'資產機關'!N18</f>
        <v>0</v>
      </c>
      <c r="F77" s="184"/>
      <c r="G77" s="184"/>
      <c r="H77" s="107">
        <f t="shared" si="5"/>
        <v>0</v>
      </c>
      <c r="I77" s="116"/>
    </row>
    <row r="78" spans="1:9" ht="15.75" customHeight="1">
      <c r="A78" s="672"/>
      <c r="B78" s="105">
        <v>65017145</v>
      </c>
      <c r="C78" s="118" t="s">
        <v>810</v>
      </c>
      <c r="D78" s="93">
        <v>53496000</v>
      </c>
      <c r="E78" s="93">
        <f>'資產機關'!N19</f>
        <v>61717702</v>
      </c>
      <c r="F78" s="182"/>
      <c r="G78" s="182"/>
      <c r="H78" s="93">
        <f t="shared" si="5"/>
        <v>61717702</v>
      </c>
      <c r="I78" s="116"/>
    </row>
    <row r="79" spans="1:9" ht="15.75" customHeight="1">
      <c r="A79" s="672"/>
      <c r="B79" s="105">
        <v>1612417918</v>
      </c>
      <c r="C79" s="118" t="s">
        <v>811</v>
      </c>
      <c r="D79" s="93">
        <v>2460906000</v>
      </c>
      <c r="E79" s="93">
        <f>'資產機關'!N20</f>
        <v>1564130025</v>
      </c>
      <c r="F79" s="182"/>
      <c r="G79" s="182"/>
      <c r="H79" s="93">
        <f t="shared" si="5"/>
        <v>1564130025</v>
      </c>
      <c r="I79" s="116"/>
    </row>
    <row r="80" spans="1:9" ht="15.75" customHeight="1">
      <c r="A80" s="672"/>
      <c r="B80" s="105">
        <v>6373626</v>
      </c>
      <c r="C80" s="118" t="s">
        <v>812</v>
      </c>
      <c r="D80" s="93">
        <v>8006000</v>
      </c>
      <c r="E80" s="93">
        <f>'資產機關'!N21</f>
        <v>19603751</v>
      </c>
      <c r="F80" s="182"/>
      <c r="G80" s="182"/>
      <c r="H80" s="93">
        <f t="shared" si="5"/>
        <v>19603751</v>
      </c>
      <c r="I80" s="116"/>
    </row>
    <row r="81" spans="1:9" ht="15.75" customHeight="1">
      <c r="A81" s="672"/>
      <c r="B81" s="105">
        <v>3400887</v>
      </c>
      <c r="C81" s="118" t="s">
        <v>813</v>
      </c>
      <c r="D81" s="93">
        <v>837000</v>
      </c>
      <c r="E81" s="93">
        <f>'資產機關'!N22</f>
        <v>3166563</v>
      </c>
      <c r="F81" s="182"/>
      <c r="G81" s="182"/>
      <c r="H81" s="93">
        <f t="shared" si="5"/>
        <v>3166563</v>
      </c>
      <c r="I81" s="116"/>
    </row>
    <row r="82" spans="1:9" ht="15.75" customHeight="1">
      <c r="A82" s="672"/>
      <c r="B82" s="105">
        <v>180695844</v>
      </c>
      <c r="C82" s="121" t="s">
        <v>229</v>
      </c>
      <c r="D82" s="93">
        <v>157749000</v>
      </c>
      <c r="E82" s="93">
        <f>'資產機關'!N24</f>
        <v>426326170</v>
      </c>
      <c r="F82" s="182"/>
      <c r="G82" s="182"/>
      <c r="H82" s="93">
        <f t="shared" si="5"/>
        <v>426326170</v>
      </c>
      <c r="I82" s="116"/>
    </row>
    <row r="83" spans="1:9" ht="15.75" customHeight="1">
      <c r="A83" s="672"/>
      <c r="B83" s="93">
        <f>B84</f>
        <v>8170042</v>
      </c>
      <c r="C83" s="117" t="s">
        <v>814</v>
      </c>
      <c r="D83" s="107">
        <f>D84</f>
        <v>12651000</v>
      </c>
      <c r="E83" s="93">
        <f>E84</f>
        <v>9376799</v>
      </c>
      <c r="F83" s="182"/>
      <c r="G83" s="182"/>
      <c r="H83" s="93">
        <f t="shared" si="5"/>
        <v>9376799</v>
      </c>
      <c r="I83" s="116"/>
    </row>
    <row r="84" spans="1:9" ht="15.75" customHeight="1">
      <c r="A84" s="672"/>
      <c r="B84" s="105">
        <v>8170042</v>
      </c>
      <c r="C84" s="118" t="s">
        <v>815</v>
      </c>
      <c r="D84" s="107">
        <v>12651000</v>
      </c>
      <c r="E84" s="93">
        <f>'資產機關'!N26</f>
        <v>9376799</v>
      </c>
      <c r="F84" s="182"/>
      <c r="G84" s="182"/>
      <c r="H84" s="93">
        <f t="shared" si="5"/>
        <v>9376799</v>
      </c>
      <c r="I84" s="116"/>
    </row>
    <row r="85" spans="1:9" ht="15.75" customHeight="1">
      <c r="A85" s="672"/>
      <c r="B85" s="93">
        <f>B86</f>
        <v>2180342578</v>
      </c>
      <c r="C85" s="117" t="s">
        <v>816</v>
      </c>
      <c r="D85" s="93">
        <f>D86</f>
        <v>1904054000</v>
      </c>
      <c r="E85" s="93">
        <f>'資產機關'!N27</f>
        <v>2184287914</v>
      </c>
      <c r="F85" s="182"/>
      <c r="G85" s="182"/>
      <c r="H85" s="93">
        <f t="shared" si="5"/>
        <v>2184287914</v>
      </c>
      <c r="I85" s="116"/>
    </row>
    <row r="86" spans="1:9" ht="15.75" customHeight="1">
      <c r="A86" s="672"/>
      <c r="B86" s="105">
        <v>2180342578</v>
      </c>
      <c r="C86" s="118" t="s">
        <v>817</v>
      </c>
      <c r="D86" s="93">
        <v>1904054000</v>
      </c>
      <c r="E86" s="93">
        <f>'資產機關'!N29</f>
        <v>2184287914</v>
      </c>
      <c r="F86" s="182"/>
      <c r="G86" s="182"/>
      <c r="H86" s="93">
        <f t="shared" si="5"/>
        <v>2184287914</v>
      </c>
      <c r="I86" s="122"/>
    </row>
    <row r="87" spans="1:9" ht="15.75" customHeight="1">
      <c r="A87" s="672"/>
      <c r="B87" s="107">
        <v>0</v>
      </c>
      <c r="C87" s="118" t="s">
        <v>818</v>
      </c>
      <c r="D87" s="107">
        <v>0</v>
      </c>
      <c r="E87" s="107">
        <f>'資產機關'!N30</f>
        <v>0</v>
      </c>
      <c r="F87" s="184"/>
      <c r="G87" s="184"/>
      <c r="H87" s="107">
        <f t="shared" si="5"/>
        <v>0</v>
      </c>
      <c r="I87" s="122"/>
    </row>
    <row r="88" spans="1:9" ht="15.75" customHeight="1">
      <c r="A88" s="672"/>
      <c r="B88" s="93">
        <f>B68</f>
        <v>4560061618</v>
      </c>
      <c r="C88" s="94" t="s">
        <v>253</v>
      </c>
      <c r="D88" s="93">
        <f>D68</f>
        <v>5154218000</v>
      </c>
      <c r="E88" s="93">
        <f>'資產機關'!N31</f>
        <v>4685811539</v>
      </c>
      <c r="F88" s="182"/>
      <c r="G88" s="182"/>
      <c r="H88" s="93">
        <f t="shared" si="5"/>
        <v>4685811539</v>
      </c>
      <c r="I88" s="122"/>
    </row>
    <row r="89" spans="1:9" ht="15.75" customHeight="1">
      <c r="A89" s="672"/>
      <c r="B89" s="93">
        <f>B90+B93+B95</f>
        <v>3225946903</v>
      </c>
      <c r="C89" s="117" t="s">
        <v>819</v>
      </c>
      <c r="D89" s="93">
        <f>D90+D93+D95</f>
        <v>4094437000</v>
      </c>
      <c r="E89" s="93">
        <f>'資產機關'!N32</f>
        <v>3406194483</v>
      </c>
      <c r="F89" s="182"/>
      <c r="G89" s="182"/>
      <c r="H89" s="93">
        <f t="shared" si="5"/>
        <v>3406194483</v>
      </c>
      <c r="I89" s="122"/>
    </row>
    <row r="90" spans="1:9" ht="15.75" customHeight="1">
      <c r="A90" s="672"/>
      <c r="B90" s="93">
        <f>B91+B92</f>
        <v>50972935</v>
      </c>
      <c r="C90" s="117" t="s">
        <v>820</v>
      </c>
      <c r="D90" s="93">
        <f>D91+D92</f>
        <v>39991000</v>
      </c>
      <c r="E90" s="93">
        <f>'資產機關'!N33</f>
        <v>271615640</v>
      </c>
      <c r="F90" s="182"/>
      <c r="G90" s="182"/>
      <c r="H90" s="93">
        <f t="shared" si="5"/>
        <v>271615640</v>
      </c>
      <c r="I90" s="122"/>
    </row>
    <row r="91" spans="1:9" ht="15.75" customHeight="1">
      <c r="A91" s="672"/>
      <c r="B91" s="105">
        <v>49493880</v>
      </c>
      <c r="C91" s="118" t="s">
        <v>821</v>
      </c>
      <c r="D91" s="93">
        <v>38086000</v>
      </c>
      <c r="E91" s="93">
        <f>'資產機關'!N34</f>
        <v>269245584</v>
      </c>
      <c r="F91" s="182"/>
      <c r="G91" s="182"/>
      <c r="H91" s="93">
        <f t="shared" si="5"/>
        <v>269245584</v>
      </c>
      <c r="I91" s="122"/>
    </row>
    <row r="92" spans="1:9" ht="15.75" customHeight="1">
      <c r="A92" s="672"/>
      <c r="B92" s="105">
        <v>1479055</v>
      </c>
      <c r="C92" s="118" t="s">
        <v>822</v>
      </c>
      <c r="D92" s="93">
        <v>1905000</v>
      </c>
      <c r="E92" s="93">
        <f>'資產機關'!N35</f>
        <v>2370056</v>
      </c>
      <c r="F92" s="182"/>
      <c r="G92" s="182"/>
      <c r="H92" s="93">
        <f t="shared" si="5"/>
        <v>2370056</v>
      </c>
      <c r="I92" s="122"/>
    </row>
    <row r="93" spans="1:9" ht="15.75" customHeight="1">
      <c r="A93" s="672"/>
      <c r="B93" s="93">
        <f>B94</f>
        <v>5958493</v>
      </c>
      <c r="C93" s="117" t="s">
        <v>823</v>
      </c>
      <c r="D93" s="93">
        <f>D94</f>
        <v>986201000</v>
      </c>
      <c r="E93" s="93">
        <f>'資產機關'!N37</f>
        <v>5958493</v>
      </c>
      <c r="F93" s="182"/>
      <c r="G93" s="182"/>
      <c r="H93" s="93">
        <f t="shared" si="5"/>
        <v>5958493</v>
      </c>
      <c r="I93" s="122"/>
    </row>
    <row r="94" spans="1:9" ht="15.75" customHeight="1">
      <c r="A94" s="672"/>
      <c r="B94" s="105">
        <v>5958493</v>
      </c>
      <c r="C94" s="118" t="s">
        <v>824</v>
      </c>
      <c r="D94" s="93">
        <v>986201000</v>
      </c>
      <c r="E94" s="93">
        <f>'資產機關'!N38</f>
        <v>5958493</v>
      </c>
      <c r="F94" s="182"/>
      <c r="G94" s="182"/>
      <c r="H94" s="93">
        <f t="shared" si="5"/>
        <v>5958493</v>
      </c>
      <c r="I94" s="122"/>
    </row>
    <row r="95" spans="1:9" ht="15.75" customHeight="1">
      <c r="A95" s="672"/>
      <c r="B95" s="93">
        <f>SUM(B96:B97)</f>
        <v>3169015475</v>
      </c>
      <c r="C95" s="117" t="s">
        <v>825</v>
      </c>
      <c r="D95" s="93">
        <f>D96+D97</f>
        <v>3068245000</v>
      </c>
      <c r="E95" s="93">
        <f>'資產機關'!N39</f>
        <v>3128620350</v>
      </c>
      <c r="F95" s="182"/>
      <c r="G95" s="182"/>
      <c r="H95" s="93">
        <f t="shared" si="5"/>
        <v>3128620350</v>
      </c>
      <c r="I95" s="122"/>
    </row>
    <row r="96" spans="1:9" ht="15.75" customHeight="1">
      <c r="A96" s="672"/>
      <c r="B96" s="105">
        <v>2195562500</v>
      </c>
      <c r="C96" s="118" t="s">
        <v>826</v>
      </c>
      <c r="D96" s="93">
        <v>1942396000</v>
      </c>
      <c r="E96" s="93">
        <f>'資產機關'!N41</f>
        <v>2212187382</v>
      </c>
      <c r="F96" s="182"/>
      <c r="G96" s="182"/>
      <c r="H96" s="93">
        <f>E96</f>
        <v>2212187382</v>
      </c>
      <c r="I96" s="122"/>
    </row>
    <row r="97" spans="1:9" ht="15.75" customHeight="1">
      <c r="A97" s="672"/>
      <c r="B97" s="105">
        <v>973452975</v>
      </c>
      <c r="C97" s="192" t="s">
        <v>313</v>
      </c>
      <c r="D97" s="193">
        <v>1125849000</v>
      </c>
      <c r="E97" s="194">
        <f>'資產機關'!N42</f>
        <v>916432968</v>
      </c>
      <c r="F97" s="195"/>
      <c r="G97" s="195"/>
      <c r="H97" s="93">
        <f>E97</f>
        <v>916432968</v>
      </c>
      <c r="I97" s="122"/>
    </row>
    <row r="98" spans="1:9" ht="15.75" customHeight="1">
      <c r="A98" s="672"/>
      <c r="B98" s="93">
        <f>B99+B101+B103+B107</f>
        <v>1334114715</v>
      </c>
      <c r="C98" s="94" t="s">
        <v>250</v>
      </c>
      <c r="D98" s="93">
        <f>D99+D101+D103+D107</f>
        <v>1059781000</v>
      </c>
      <c r="E98" s="93">
        <f>'資產機關'!N43</f>
        <v>1279617056</v>
      </c>
      <c r="F98" s="182"/>
      <c r="G98" s="182"/>
      <c r="H98" s="93">
        <f t="shared" si="5"/>
        <v>1279617056</v>
      </c>
      <c r="I98" s="122"/>
    </row>
    <row r="99" spans="1:9" ht="15.75" customHeight="1">
      <c r="A99" s="672"/>
      <c r="B99" s="93">
        <f>B100</f>
        <v>706858403</v>
      </c>
      <c r="C99" s="117" t="s">
        <v>827</v>
      </c>
      <c r="D99" s="93">
        <f>D100</f>
        <v>706858000</v>
      </c>
      <c r="E99" s="93">
        <f>'資產機關'!N44</f>
        <v>706858403</v>
      </c>
      <c r="F99" s="182"/>
      <c r="G99" s="182"/>
      <c r="H99" s="93">
        <f t="shared" si="5"/>
        <v>706858403</v>
      </c>
      <c r="I99" s="122"/>
    </row>
    <row r="100" spans="1:9" ht="15.75" customHeight="1">
      <c r="A100" s="672"/>
      <c r="B100" s="105">
        <v>706858403</v>
      </c>
      <c r="C100" s="118" t="s">
        <v>828</v>
      </c>
      <c r="D100" s="93">
        <v>706858000</v>
      </c>
      <c r="E100" s="93">
        <f>'資產機關'!N45</f>
        <v>706858403</v>
      </c>
      <c r="F100" s="182"/>
      <c r="G100" s="182"/>
      <c r="H100" s="93">
        <f t="shared" si="5"/>
        <v>706858403</v>
      </c>
      <c r="I100" s="122"/>
    </row>
    <row r="101" spans="1:9" ht="15.75" customHeight="1">
      <c r="A101" s="672"/>
      <c r="B101" s="93">
        <f>B102</f>
        <v>705023528</v>
      </c>
      <c r="C101" s="117" t="s">
        <v>829</v>
      </c>
      <c r="D101" s="93">
        <f>D102</f>
        <v>705023000</v>
      </c>
      <c r="E101" s="93">
        <f>'資產機關'!N46</f>
        <v>705023528</v>
      </c>
      <c r="F101" s="182"/>
      <c r="G101" s="182"/>
      <c r="H101" s="93">
        <f t="shared" si="5"/>
        <v>705023528</v>
      </c>
      <c r="I101" s="122"/>
    </row>
    <row r="102" spans="1:9" ht="15.75" customHeight="1">
      <c r="A102" s="672"/>
      <c r="B102" s="105">
        <v>705023528</v>
      </c>
      <c r="C102" s="118" t="s">
        <v>830</v>
      </c>
      <c r="D102" s="93">
        <v>705023000</v>
      </c>
      <c r="E102" s="93">
        <f>'資產機關'!N47</f>
        <v>705023528</v>
      </c>
      <c r="F102" s="182"/>
      <c r="G102" s="182"/>
      <c r="H102" s="93">
        <f t="shared" si="5"/>
        <v>705023528</v>
      </c>
      <c r="I102" s="122"/>
    </row>
    <row r="103" spans="1:9" ht="15.75" customHeight="1">
      <c r="A103" s="672"/>
      <c r="B103" s="93">
        <f>B104+B105+B106</f>
        <v>-139156765</v>
      </c>
      <c r="C103" s="117" t="s">
        <v>831</v>
      </c>
      <c r="D103" s="93">
        <f>D104+D105+D106</f>
        <v>-413490000</v>
      </c>
      <c r="E103" s="93">
        <f>'資產機關'!N48</f>
        <v>-193654424</v>
      </c>
      <c r="F103" s="182"/>
      <c r="G103" s="182"/>
      <c r="H103" s="93">
        <f t="shared" si="5"/>
        <v>-193654424</v>
      </c>
      <c r="I103" s="122"/>
    </row>
    <row r="104" spans="1:9" ht="15.75" customHeight="1">
      <c r="A104" s="672"/>
      <c r="B104" s="93">
        <v>943109</v>
      </c>
      <c r="C104" s="118" t="s">
        <v>832</v>
      </c>
      <c r="D104" s="93">
        <v>943000</v>
      </c>
      <c r="E104" s="93">
        <f>'資產機關'!N49</f>
        <v>943109</v>
      </c>
      <c r="F104" s="182"/>
      <c r="G104" s="182"/>
      <c r="H104" s="93">
        <f t="shared" si="5"/>
        <v>943109</v>
      </c>
      <c r="I104" s="122"/>
    </row>
    <row r="105" spans="1:9" ht="15.75" customHeight="1">
      <c r="A105" s="672"/>
      <c r="B105" s="196">
        <v>0</v>
      </c>
      <c r="C105" s="118" t="s">
        <v>833</v>
      </c>
      <c r="D105" s="93">
        <v>-157441000</v>
      </c>
      <c r="E105" s="107">
        <f>'資產機關'!N50</f>
        <v>0</v>
      </c>
      <c r="F105" s="182"/>
      <c r="G105" s="182"/>
      <c r="H105" s="107">
        <f t="shared" si="5"/>
        <v>0</v>
      </c>
      <c r="I105" s="122"/>
    </row>
    <row r="106" spans="1:9" ht="15.75" customHeight="1">
      <c r="A106" s="672"/>
      <c r="B106" s="96">
        <v>-140099874</v>
      </c>
      <c r="C106" s="118" t="s">
        <v>834</v>
      </c>
      <c r="D106" s="93">
        <v>-256992000</v>
      </c>
      <c r="E106" s="93">
        <f>'資產機關'!N51</f>
        <v>-194597533</v>
      </c>
      <c r="F106" s="184"/>
      <c r="G106" s="184"/>
      <c r="H106" s="93">
        <f t="shared" si="5"/>
        <v>-194597533</v>
      </c>
      <c r="I106" s="122"/>
    </row>
    <row r="107" spans="1:9" ht="15.75" customHeight="1">
      <c r="A107" s="672"/>
      <c r="B107" s="93">
        <f>SUM(B108)</f>
        <v>61389549</v>
      </c>
      <c r="C107" s="121" t="s">
        <v>310</v>
      </c>
      <c r="D107" s="93">
        <f>SUM(D108)</f>
        <v>61390000</v>
      </c>
      <c r="E107" s="93">
        <f>E108</f>
        <v>61389549</v>
      </c>
      <c r="F107" s="182"/>
      <c r="G107" s="182"/>
      <c r="H107" s="93">
        <f>E107</f>
        <v>61389549</v>
      </c>
      <c r="I107" s="122"/>
    </row>
    <row r="108" spans="1:9" ht="15.75" customHeight="1">
      <c r="A108" s="672"/>
      <c r="B108" s="93">
        <v>61389549</v>
      </c>
      <c r="C108" s="121" t="s">
        <v>311</v>
      </c>
      <c r="D108" s="93">
        <v>61390000</v>
      </c>
      <c r="E108" s="93">
        <v>61389549</v>
      </c>
      <c r="F108" s="182"/>
      <c r="G108" s="182"/>
      <c r="H108" s="93">
        <f>E108</f>
        <v>61389549</v>
      </c>
      <c r="I108" s="122"/>
    </row>
    <row r="109" spans="1:8" ht="15.75" customHeight="1">
      <c r="A109" s="673"/>
      <c r="B109" s="131">
        <f>B98+B89</f>
        <v>4560061618</v>
      </c>
      <c r="C109" s="132" t="s">
        <v>251</v>
      </c>
      <c r="D109" s="131">
        <f>D98+D89</f>
        <v>5154218000</v>
      </c>
      <c r="E109" s="131">
        <f>E98+E89</f>
        <v>4685811539</v>
      </c>
      <c r="F109" s="197"/>
      <c r="G109" s="197"/>
      <c r="H109" s="99">
        <f>E109</f>
        <v>4685811539</v>
      </c>
    </row>
  </sheetData>
  <sheetProtection/>
  <mergeCells count="12">
    <mergeCell ref="A5:A29"/>
    <mergeCell ref="A30:A48"/>
    <mergeCell ref="A49:A67"/>
    <mergeCell ref="A68:A109"/>
    <mergeCell ref="A1:H1"/>
    <mergeCell ref="C2:F2"/>
    <mergeCell ref="F3:G3"/>
    <mergeCell ref="H3:H4"/>
    <mergeCell ref="A3:A4"/>
    <mergeCell ref="C3:C4"/>
    <mergeCell ref="D3:D4"/>
    <mergeCell ref="E3:E4"/>
  </mergeCells>
  <printOptions horizontalCentered="1" verticalCentered="1"/>
  <pageMargins left="0.5118110236220472" right="0.5118110236220472" top="0.5905511811023623" bottom="0.5905511811023623" header="0" footer="0.31496062992125984"/>
  <pageSetup firstPageNumber="54" useFirstPageNumber="1" horizontalDpi="600" verticalDpi="600" orientation="portrait" pageOrder="overThenDown" paperSize="9" r:id="rId1"/>
  <headerFooter alignWithMargins="0">
    <oddFooter xml:space="preserve">&amp;C &amp;P </oddFooter>
  </headerFooter>
  <rowBreaks count="2" manualBreakCount="2">
    <brk id="29" max="255" man="1"/>
    <brk id="6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00390625" defaultRowHeight="16.5"/>
  <sheetData/>
  <sheetProtection/>
  <printOptions/>
  <pageMargins left="0.75" right="0.75" top="1" bottom="1" header="0.5" footer="0.5"/>
  <pageSetup firstPageNumber="57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12" sqref="E12"/>
    </sheetView>
  </sheetViews>
  <sheetFormatPr defaultColWidth="9.00390625" defaultRowHeight="16.5"/>
  <cols>
    <col min="1" max="1" width="8.625" style="53" customWidth="1"/>
    <col min="2" max="2" width="8.875" style="53" customWidth="1"/>
    <col min="3" max="4" width="11.375" style="53" customWidth="1"/>
    <col min="5" max="5" width="13.625" style="53" customWidth="1"/>
    <col min="6" max="6" width="5.00390625" style="53" customWidth="1"/>
    <col min="7" max="7" width="8.25390625" style="53" customWidth="1"/>
    <col min="8" max="8" width="9.00390625" style="53" customWidth="1"/>
    <col min="9" max="9" width="10.625" style="53" customWidth="1"/>
    <col min="10" max="10" width="11.375" style="53" customWidth="1"/>
    <col min="11" max="11" width="8.00390625" style="53" customWidth="1"/>
    <col min="12" max="12" width="7.875" style="53" customWidth="1"/>
    <col min="13" max="13" width="9.75390625" style="53" customWidth="1"/>
    <col min="14" max="14" width="11.50390625" style="53" customWidth="1"/>
    <col min="15" max="18" width="9.625" style="53" customWidth="1"/>
    <col min="19" max="16384" width="9.00390625" style="53" customWidth="1"/>
  </cols>
  <sheetData>
    <row r="1" spans="1:13" ht="24" customHeight="1">
      <c r="A1" s="398"/>
      <c r="H1" s="399"/>
      <c r="I1" s="400" t="s">
        <v>443</v>
      </c>
      <c r="J1" s="401" t="s">
        <v>442</v>
      </c>
      <c r="K1" s="399"/>
      <c r="L1" s="399"/>
      <c r="M1" s="399"/>
    </row>
    <row r="2" spans="1:13" ht="24" customHeight="1">
      <c r="A2" s="402"/>
      <c r="H2" s="403"/>
      <c r="I2" s="400" t="s">
        <v>88</v>
      </c>
      <c r="J2" s="401" t="s">
        <v>92</v>
      </c>
      <c r="K2" s="404"/>
      <c r="L2" s="399"/>
      <c r="M2" s="399"/>
    </row>
    <row r="3" spans="1:18" ht="24" customHeight="1">
      <c r="A3" s="405" t="s">
        <v>89</v>
      </c>
      <c r="I3" s="406" t="s">
        <v>87</v>
      </c>
      <c r="J3" s="407" t="s">
        <v>568</v>
      </c>
      <c r="P3" s="681" t="s">
        <v>316</v>
      </c>
      <c r="Q3" s="682"/>
      <c r="R3" s="682"/>
    </row>
    <row r="4" spans="1:18" ht="28.5" customHeight="1">
      <c r="A4" s="683" t="s">
        <v>77</v>
      </c>
      <c r="B4" s="684"/>
      <c r="C4" s="684"/>
      <c r="D4" s="685"/>
      <c r="E4" s="692" t="s">
        <v>474</v>
      </c>
      <c r="F4" s="689" t="s">
        <v>79</v>
      </c>
      <c r="G4" s="680" t="s">
        <v>246</v>
      </c>
      <c r="H4" s="680"/>
      <c r="I4" s="680"/>
      <c r="J4" s="680"/>
      <c r="K4" s="680" t="s">
        <v>90</v>
      </c>
      <c r="L4" s="680"/>
      <c r="M4" s="680"/>
      <c r="N4" s="680"/>
      <c r="O4" s="680" t="s">
        <v>91</v>
      </c>
      <c r="P4" s="680"/>
      <c r="Q4" s="680"/>
      <c r="R4" s="680"/>
    </row>
    <row r="5" spans="1:18" ht="28.5" customHeight="1">
      <c r="A5" s="686" t="s">
        <v>78</v>
      </c>
      <c r="B5" s="687"/>
      <c r="C5" s="687"/>
      <c r="D5" s="688"/>
      <c r="E5" s="693"/>
      <c r="F5" s="69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</row>
    <row r="6" spans="1:18" ht="28.5" customHeight="1">
      <c r="A6" s="680" t="s">
        <v>80</v>
      </c>
      <c r="B6" s="680"/>
      <c r="C6" s="680" t="s">
        <v>81</v>
      </c>
      <c r="D6" s="680"/>
      <c r="E6" s="693"/>
      <c r="F6" s="690"/>
      <c r="G6" s="680" t="s">
        <v>80</v>
      </c>
      <c r="H6" s="680"/>
      <c r="I6" s="680" t="s">
        <v>81</v>
      </c>
      <c r="J6" s="680"/>
      <c r="K6" s="680" t="s">
        <v>80</v>
      </c>
      <c r="L6" s="680"/>
      <c r="M6" s="680" t="s">
        <v>81</v>
      </c>
      <c r="N6" s="680"/>
      <c r="O6" s="680" t="s">
        <v>80</v>
      </c>
      <c r="P6" s="680"/>
      <c r="Q6" s="680" t="s">
        <v>81</v>
      </c>
      <c r="R6" s="680"/>
    </row>
    <row r="7" spans="1:18" ht="28.5" customHeight="1">
      <c r="A7" s="408" t="s">
        <v>82</v>
      </c>
      <c r="B7" s="408" t="s">
        <v>83</v>
      </c>
      <c r="C7" s="408" t="s">
        <v>84</v>
      </c>
      <c r="D7" s="408" t="s">
        <v>85</v>
      </c>
      <c r="E7" s="694"/>
      <c r="F7" s="691"/>
      <c r="G7" s="408" t="s">
        <v>82</v>
      </c>
      <c r="H7" s="408" t="s">
        <v>83</v>
      </c>
      <c r="I7" s="408" t="s">
        <v>84</v>
      </c>
      <c r="J7" s="408" t="s">
        <v>85</v>
      </c>
      <c r="K7" s="408" t="s">
        <v>82</v>
      </c>
      <c r="L7" s="408" t="s">
        <v>83</v>
      </c>
      <c r="M7" s="408" t="s">
        <v>84</v>
      </c>
      <c r="N7" s="408" t="s">
        <v>85</v>
      </c>
      <c r="O7" s="408" t="s">
        <v>82</v>
      </c>
      <c r="P7" s="408" t="s">
        <v>83</v>
      </c>
      <c r="Q7" s="408" t="s">
        <v>84</v>
      </c>
      <c r="R7" s="408" t="s">
        <v>85</v>
      </c>
    </row>
    <row r="8" spans="1:18" ht="29.25" customHeight="1">
      <c r="A8" s="409">
        <f>A9</f>
        <v>24917590</v>
      </c>
      <c r="B8" s="410">
        <f>B9</f>
        <v>20788077</v>
      </c>
      <c r="C8" s="409">
        <f>C9</f>
        <v>2395286669</v>
      </c>
      <c r="D8" s="409">
        <f>D9</f>
        <v>12114516690</v>
      </c>
      <c r="E8" s="411" t="s">
        <v>186</v>
      </c>
      <c r="F8" s="412"/>
      <c r="G8" s="409">
        <f>G9</f>
        <v>22204777</v>
      </c>
      <c r="H8" s="413">
        <f aca="true" t="shared" si="0" ref="H8:N8">H9</f>
        <v>21574577</v>
      </c>
      <c r="I8" s="409">
        <f t="shared" si="0"/>
        <v>2478278133</v>
      </c>
      <c r="J8" s="409">
        <f t="shared" si="0"/>
        <v>12431545179</v>
      </c>
      <c r="K8" s="409">
        <f t="shared" si="0"/>
        <v>22178000</v>
      </c>
      <c r="L8" s="409">
        <f t="shared" si="0"/>
        <v>20600000</v>
      </c>
      <c r="M8" s="409">
        <f t="shared" si="0"/>
        <v>2821601000</v>
      </c>
      <c r="N8" s="409">
        <f t="shared" si="0"/>
        <v>12394269000</v>
      </c>
      <c r="O8" s="414">
        <f aca="true" t="shared" si="1" ref="O8:R10">G8/K8*100</f>
        <v>100.12073676616467</v>
      </c>
      <c r="P8" s="414">
        <f t="shared" si="1"/>
        <v>104.73095631067962</v>
      </c>
      <c r="Q8" s="414">
        <f t="shared" si="1"/>
        <v>87.83233820090084</v>
      </c>
      <c r="R8" s="414">
        <f t="shared" si="1"/>
        <v>100.30075334818052</v>
      </c>
    </row>
    <row r="9" spans="1:18" ht="28.5" customHeight="1">
      <c r="A9" s="415">
        <v>24917590</v>
      </c>
      <c r="B9" s="416">
        <v>20788077</v>
      </c>
      <c r="C9" s="415">
        <v>2395286669</v>
      </c>
      <c r="D9" s="415">
        <v>12114516690</v>
      </c>
      <c r="E9" s="417" t="s">
        <v>531</v>
      </c>
      <c r="F9" s="418" t="s">
        <v>532</v>
      </c>
      <c r="G9" s="415">
        <v>22204777</v>
      </c>
      <c r="H9" s="416">
        <v>21574577</v>
      </c>
      <c r="I9" s="415">
        <v>2478278133</v>
      </c>
      <c r="J9" s="415">
        <v>12431545179</v>
      </c>
      <c r="K9" s="415">
        <v>22178000</v>
      </c>
      <c r="L9" s="415">
        <v>20600000</v>
      </c>
      <c r="M9" s="415">
        <v>2821601000</v>
      </c>
      <c r="N9" s="415">
        <v>12394269000</v>
      </c>
      <c r="O9" s="419">
        <f t="shared" si="1"/>
        <v>100.12073676616467</v>
      </c>
      <c r="P9" s="419">
        <f t="shared" si="1"/>
        <v>104.73095631067962</v>
      </c>
      <c r="Q9" s="419">
        <f t="shared" si="1"/>
        <v>87.83233820090084</v>
      </c>
      <c r="R9" s="419">
        <f t="shared" si="1"/>
        <v>100.30075334818052</v>
      </c>
    </row>
    <row r="10" spans="1:18" ht="29.25" customHeight="1">
      <c r="A10" s="420">
        <f>SUM(A11:A12)</f>
        <v>715511</v>
      </c>
      <c r="B10" s="420">
        <f>SUM(B11:B12)</f>
        <v>737853</v>
      </c>
      <c r="C10" s="420">
        <f>SUM(C11:C12)</f>
        <v>151006794</v>
      </c>
      <c r="D10" s="420">
        <f>SUM(D11:D12)</f>
        <v>159387122</v>
      </c>
      <c r="E10" s="421" t="s">
        <v>187</v>
      </c>
      <c r="F10" s="422"/>
      <c r="G10" s="420">
        <f aca="true" t="shared" si="2" ref="G10:N10">SUM(G11:G12)</f>
        <v>699821</v>
      </c>
      <c r="H10" s="420">
        <f t="shared" si="2"/>
        <v>696910</v>
      </c>
      <c r="I10" s="420">
        <f t="shared" si="2"/>
        <v>149416938</v>
      </c>
      <c r="J10" s="420">
        <f t="shared" si="2"/>
        <v>141489979</v>
      </c>
      <c r="K10" s="420">
        <f t="shared" si="2"/>
        <v>1137725</v>
      </c>
      <c r="L10" s="420">
        <f t="shared" si="2"/>
        <v>1137725</v>
      </c>
      <c r="M10" s="420">
        <f t="shared" si="2"/>
        <v>224595000</v>
      </c>
      <c r="N10" s="420">
        <f t="shared" si="2"/>
        <v>224595000</v>
      </c>
      <c r="O10" s="423">
        <f t="shared" si="1"/>
        <v>61.51055835109539</v>
      </c>
      <c r="P10" s="423">
        <f t="shared" si="1"/>
        <v>61.254696873145974</v>
      </c>
      <c r="Q10" s="423">
        <f t="shared" si="1"/>
        <v>66.5272770987778</v>
      </c>
      <c r="R10" s="423">
        <f t="shared" si="1"/>
        <v>62.99783120728423</v>
      </c>
    </row>
    <row r="11" spans="1:18" ht="28.5" customHeight="1">
      <c r="A11" s="415">
        <v>714523</v>
      </c>
      <c r="B11" s="415">
        <v>734243</v>
      </c>
      <c r="C11" s="415">
        <v>146924687</v>
      </c>
      <c r="D11" s="415">
        <v>156031008</v>
      </c>
      <c r="E11" s="417" t="s">
        <v>519</v>
      </c>
      <c r="F11" s="418" t="s">
        <v>533</v>
      </c>
      <c r="G11" s="415">
        <v>691765</v>
      </c>
      <c r="H11" s="415">
        <v>688501</v>
      </c>
      <c r="I11" s="415">
        <v>143389625</v>
      </c>
      <c r="J11" s="415">
        <v>138046720</v>
      </c>
      <c r="K11" s="415">
        <v>1137000</v>
      </c>
      <c r="L11" s="415">
        <v>1137000</v>
      </c>
      <c r="M11" s="415">
        <v>221695000</v>
      </c>
      <c r="N11" s="415">
        <v>221695000</v>
      </c>
      <c r="O11" s="419">
        <f aca="true" t="shared" si="3" ref="O11:O16">G11/K11*100</f>
        <v>60.84124890061565</v>
      </c>
      <c r="P11" s="419">
        <f aca="true" t="shared" si="4" ref="P11:P24">H11/L11*100</f>
        <v>60.55417766051011</v>
      </c>
      <c r="Q11" s="419">
        <f aca="true" t="shared" si="5" ref="Q11:Q16">I11/M11*100</f>
        <v>64.67878165948713</v>
      </c>
      <c r="R11" s="419">
        <f aca="true" t="shared" si="6" ref="R11:R24">J11/N11*100</f>
        <v>62.26875662509303</v>
      </c>
    </row>
    <row r="12" spans="1:18" ht="28.5" customHeight="1">
      <c r="A12" s="415">
        <v>988</v>
      </c>
      <c r="B12" s="415">
        <v>3610</v>
      </c>
      <c r="C12" s="415">
        <v>4082107</v>
      </c>
      <c r="D12" s="415">
        <v>3356114</v>
      </c>
      <c r="E12" s="417" t="s">
        <v>520</v>
      </c>
      <c r="F12" s="418" t="s">
        <v>533</v>
      </c>
      <c r="G12" s="415">
        <v>8056</v>
      </c>
      <c r="H12" s="415">
        <v>8409</v>
      </c>
      <c r="I12" s="415">
        <v>6027313</v>
      </c>
      <c r="J12" s="415">
        <v>3443259</v>
      </c>
      <c r="K12" s="415">
        <v>725</v>
      </c>
      <c r="L12" s="415">
        <v>725</v>
      </c>
      <c r="M12" s="415">
        <v>2900000</v>
      </c>
      <c r="N12" s="415">
        <v>2900000</v>
      </c>
      <c r="O12" s="419">
        <f t="shared" si="3"/>
        <v>1111.1724137931035</v>
      </c>
      <c r="P12" s="419">
        <f t="shared" si="4"/>
        <v>1159.8620689655172</v>
      </c>
      <c r="Q12" s="419">
        <f t="shared" si="5"/>
        <v>207.83837931034483</v>
      </c>
      <c r="R12" s="419">
        <f t="shared" si="6"/>
        <v>118.73306896551725</v>
      </c>
    </row>
    <row r="13" spans="1:18" ht="29.25" customHeight="1">
      <c r="A13" s="420">
        <f>SUM(A14:A16)</f>
        <v>194246</v>
      </c>
      <c r="B13" s="420">
        <f>SUM(B14:B16)</f>
        <v>194246</v>
      </c>
      <c r="C13" s="420">
        <f>SUM(C14:C16)</f>
        <v>75892907</v>
      </c>
      <c r="D13" s="420">
        <f>SUM(D14:D16)</f>
        <v>38649266</v>
      </c>
      <c r="E13" s="421" t="s">
        <v>189</v>
      </c>
      <c r="F13" s="422"/>
      <c r="G13" s="420">
        <f aca="true" t="shared" si="7" ref="G13:N13">SUM(G14:G16)</f>
        <v>115931</v>
      </c>
      <c r="H13" s="420">
        <f t="shared" si="7"/>
        <v>115931</v>
      </c>
      <c r="I13" s="420">
        <f t="shared" si="7"/>
        <v>135110147</v>
      </c>
      <c r="J13" s="420">
        <f t="shared" si="7"/>
        <v>36256015</v>
      </c>
      <c r="K13" s="420">
        <f t="shared" si="7"/>
        <v>89100</v>
      </c>
      <c r="L13" s="420">
        <f t="shared" si="7"/>
        <v>89100</v>
      </c>
      <c r="M13" s="420">
        <f t="shared" si="7"/>
        <v>144473000</v>
      </c>
      <c r="N13" s="420">
        <f t="shared" si="7"/>
        <v>39126000</v>
      </c>
      <c r="O13" s="423">
        <f t="shared" si="3"/>
        <v>130.11335578002246</v>
      </c>
      <c r="P13" s="423">
        <f t="shared" si="4"/>
        <v>130.11335578002246</v>
      </c>
      <c r="Q13" s="423">
        <f t="shared" si="5"/>
        <v>93.51930602950033</v>
      </c>
      <c r="R13" s="423">
        <f t="shared" si="6"/>
        <v>92.66476256197924</v>
      </c>
    </row>
    <row r="14" spans="1:18" ht="28.5" customHeight="1">
      <c r="A14" s="415">
        <v>79904</v>
      </c>
      <c r="B14" s="415">
        <v>79904</v>
      </c>
      <c r="C14" s="415">
        <v>43333885</v>
      </c>
      <c r="D14" s="415">
        <v>14382684</v>
      </c>
      <c r="E14" s="417" t="s">
        <v>504</v>
      </c>
      <c r="F14" s="418" t="s">
        <v>534</v>
      </c>
      <c r="G14" s="415">
        <v>73610</v>
      </c>
      <c r="H14" s="415">
        <v>73610</v>
      </c>
      <c r="I14" s="415">
        <v>76270002</v>
      </c>
      <c r="J14" s="415">
        <v>13249835</v>
      </c>
      <c r="K14" s="415">
        <v>75000</v>
      </c>
      <c r="L14" s="415">
        <v>75000</v>
      </c>
      <c r="M14" s="415">
        <v>79169000</v>
      </c>
      <c r="N14" s="415">
        <v>13500000</v>
      </c>
      <c r="O14" s="424">
        <f t="shared" si="3"/>
        <v>98.14666666666668</v>
      </c>
      <c r="P14" s="424">
        <f t="shared" si="4"/>
        <v>98.14666666666668</v>
      </c>
      <c r="Q14" s="424">
        <f t="shared" si="5"/>
        <v>96.33821571574732</v>
      </c>
      <c r="R14" s="424">
        <f t="shared" si="6"/>
        <v>98.14692592592593</v>
      </c>
    </row>
    <row r="15" spans="1:18" ht="28.5" customHeight="1">
      <c r="A15" s="415">
        <v>4546</v>
      </c>
      <c r="B15" s="415">
        <v>4546</v>
      </c>
      <c r="C15" s="415">
        <v>11228421</v>
      </c>
      <c r="D15" s="415">
        <v>22729440</v>
      </c>
      <c r="E15" s="417" t="s">
        <v>505</v>
      </c>
      <c r="F15" s="418" t="s">
        <v>535</v>
      </c>
      <c r="G15" s="415">
        <v>4495</v>
      </c>
      <c r="H15" s="415">
        <v>4495</v>
      </c>
      <c r="I15" s="415">
        <v>19478019</v>
      </c>
      <c r="J15" s="415">
        <v>22476620</v>
      </c>
      <c r="K15" s="415">
        <v>5100</v>
      </c>
      <c r="L15" s="415">
        <v>5100</v>
      </c>
      <c r="M15" s="415">
        <v>20052000</v>
      </c>
      <c r="N15" s="415">
        <v>25500000</v>
      </c>
      <c r="O15" s="424">
        <f t="shared" si="3"/>
        <v>88.13725490196079</v>
      </c>
      <c r="P15" s="424">
        <f t="shared" si="4"/>
        <v>88.13725490196079</v>
      </c>
      <c r="Q15" s="424">
        <f t="shared" si="5"/>
        <v>97.13753740275284</v>
      </c>
      <c r="R15" s="424">
        <f t="shared" si="6"/>
        <v>88.14360784313725</v>
      </c>
    </row>
    <row r="16" spans="1:18" ht="28.5" customHeight="1">
      <c r="A16" s="415">
        <v>109796</v>
      </c>
      <c r="B16" s="415">
        <v>109796</v>
      </c>
      <c r="C16" s="415">
        <v>21330601</v>
      </c>
      <c r="D16" s="415">
        <v>1537142</v>
      </c>
      <c r="E16" s="417" t="s">
        <v>506</v>
      </c>
      <c r="F16" s="418" t="s">
        <v>536</v>
      </c>
      <c r="G16" s="415">
        <v>37826</v>
      </c>
      <c r="H16" s="415">
        <v>37826</v>
      </c>
      <c r="I16" s="415">
        <v>39362126</v>
      </c>
      <c r="J16" s="415">
        <v>529560</v>
      </c>
      <c r="K16" s="415">
        <v>9000</v>
      </c>
      <c r="L16" s="415">
        <v>9000</v>
      </c>
      <c r="M16" s="415">
        <v>45252000</v>
      </c>
      <c r="N16" s="415">
        <v>126000</v>
      </c>
      <c r="O16" s="424">
        <f t="shared" si="3"/>
        <v>420.28888888888883</v>
      </c>
      <c r="P16" s="424">
        <f t="shared" si="4"/>
        <v>420.28888888888883</v>
      </c>
      <c r="Q16" s="424">
        <f t="shared" si="5"/>
        <v>86.98427914788297</v>
      </c>
      <c r="R16" s="424">
        <f t="shared" si="6"/>
        <v>420.2857142857143</v>
      </c>
    </row>
    <row r="17" spans="1:18" ht="29.25" customHeight="1">
      <c r="A17" s="425">
        <v>0</v>
      </c>
      <c r="B17" s="426">
        <f>SUM(B18:B21)</f>
        <v>3551843</v>
      </c>
      <c r="C17" s="425">
        <v>0</v>
      </c>
      <c r="D17" s="420">
        <f>D18+D19+D20+D21</f>
        <v>59061688</v>
      </c>
      <c r="E17" s="421" t="s">
        <v>200</v>
      </c>
      <c r="F17" s="422"/>
      <c r="G17" s="425">
        <v>0</v>
      </c>
      <c r="H17" s="426">
        <f>SUM(H18:H21)</f>
        <v>3526381</v>
      </c>
      <c r="I17" s="425">
        <v>0</v>
      </c>
      <c r="J17" s="420">
        <f>SUM(J18:J21)</f>
        <v>58412347</v>
      </c>
      <c r="K17" s="427">
        <v>0</v>
      </c>
      <c r="L17" s="420">
        <f>SUM(L18:L21)</f>
        <v>3709240</v>
      </c>
      <c r="M17" s="425">
        <v>0</v>
      </c>
      <c r="N17" s="420">
        <f>N18+N19+N20+N21</f>
        <v>58750000</v>
      </c>
      <c r="O17" s="428">
        <v>0</v>
      </c>
      <c r="P17" s="428">
        <f t="shared" si="4"/>
        <v>95.07017610076458</v>
      </c>
      <c r="Q17" s="428">
        <v>0</v>
      </c>
      <c r="R17" s="428">
        <f t="shared" si="6"/>
        <v>99.4252714893617</v>
      </c>
    </row>
    <row r="18" spans="1:18" ht="28.5" customHeight="1">
      <c r="A18" s="429">
        <v>0</v>
      </c>
      <c r="B18" s="430">
        <v>3513631</v>
      </c>
      <c r="C18" s="429">
        <v>0</v>
      </c>
      <c r="D18" s="415">
        <v>42163590</v>
      </c>
      <c r="E18" s="417" t="s">
        <v>507</v>
      </c>
      <c r="F18" s="418" t="s">
        <v>537</v>
      </c>
      <c r="G18" s="429">
        <v>0</v>
      </c>
      <c r="H18" s="430">
        <v>3493317</v>
      </c>
      <c r="I18" s="429">
        <v>0</v>
      </c>
      <c r="J18" s="415">
        <f>4146606+14458144+9052164+14262900</f>
        <v>41919814</v>
      </c>
      <c r="K18" s="431">
        <v>0</v>
      </c>
      <c r="L18" s="432">
        <f>322000+1343000+856000+1162000</f>
        <v>3683000</v>
      </c>
      <c r="M18" s="429">
        <v>0</v>
      </c>
      <c r="N18" s="415">
        <f>3864000+16116000+10272000+13944000</f>
        <v>44196000</v>
      </c>
      <c r="O18" s="424">
        <v>0</v>
      </c>
      <c r="P18" s="424">
        <f t="shared" si="4"/>
        <v>94.84976920988325</v>
      </c>
      <c r="Q18" s="424">
        <v>0</v>
      </c>
      <c r="R18" s="424">
        <f t="shared" si="6"/>
        <v>94.84979183636528</v>
      </c>
    </row>
    <row r="19" spans="1:18" ht="28.5" customHeight="1">
      <c r="A19" s="429">
        <v>0</v>
      </c>
      <c r="B19" s="430">
        <v>30392</v>
      </c>
      <c r="C19" s="429">
        <v>0</v>
      </c>
      <c r="D19" s="415">
        <v>4862748</v>
      </c>
      <c r="E19" s="417" t="s">
        <v>508</v>
      </c>
      <c r="F19" s="418" t="s">
        <v>538</v>
      </c>
      <c r="G19" s="429">
        <v>0</v>
      </c>
      <c r="H19" s="430">
        <v>25819</v>
      </c>
      <c r="I19" s="429">
        <v>0</v>
      </c>
      <c r="J19" s="415">
        <v>5163833</v>
      </c>
      <c r="K19" s="431">
        <v>0</v>
      </c>
      <c r="L19" s="432">
        <v>20000</v>
      </c>
      <c r="M19" s="429">
        <v>0</v>
      </c>
      <c r="N19" s="415">
        <v>4000000</v>
      </c>
      <c r="O19" s="424">
        <v>0</v>
      </c>
      <c r="P19" s="424">
        <f t="shared" si="4"/>
        <v>129.095</v>
      </c>
      <c r="Q19" s="424">
        <v>0</v>
      </c>
      <c r="R19" s="424">
        <f t="shared" si="6"/>
        <v>129.09582500000002</v>
      </c>
    </row>
    <row r="20" spans="1:18" ht="28.5" customHeight="1">
      <c r="A20" s="429"/>
      <c r="B20" s="430">
        <v>3814</v>
      </c>
      <c r="C20" s="429"/>
      <c r="D20" s="415">
        <v>7628000</v>
      </c>
      <c r="E20" s="417" t="s">
        <v>485</v>
      </c>
      <c r="F20" s="418" t="s">
        <v>539</v>
      </c>
      <c r="G20" s="429"/>
      <c r="H20" s="430">
        <v>3732</v>
      </c>
      <c r="I20" s="429"/>
      <c r="J20" s="415">
        <v>7464000</v>
      </c>
      <c r="K20" s="431"/>
      <c r="L20" s="432">
        <v>4100</v>
      </c>
      <c r="M20" s="429"/>
      <c r="N20" s="415">
        <v>8200000</v>
      </c>
      <c r="O20" s="424"/>
      <c r="P20" s="424">
        <f t="shared" si="4"/>
        <v>91.02439024390245</v>
      </c>
      <c r="Q20" s="424"/>
      <c r="R20" s="424">
        <f t="shared" si="6"/>
        <v>91.02439024390245</v>
      </c>
    </row>
    <row r="21" spans="1:18" ht="28.5" customHeight="1">
      <c r="A21" s="429"/>
      <c r="B21" s="430">
        <v>4006</v>
      </c>
      <c r="C21" s="429"/>
      <c r="D21" s="415">
        <v>4407350</v>
      </c>
      <c r="E21" s="417" t="s">
        <v>486</v>
      </c>
      <c r="F21" s="418" t="s">
        <v>540</v>
      </c>
      <c r="G21" s="429"/>
      <c r="H21" s="430">
        <v>3513</v>
      </c>
      <c r="I21" s="429"/>
      <c r="J21" s="415">
        <v>3864700</v>
      </c>
      <c r="K21" s="431"/>
      <c r="L21" s="432">
        <v>2140</v>
      </c>
      <c r="M21" s="429"/>
      <c r="N21" s="415">
        <v>2354000</v>
      </c>
      <c r="O21" s="424"/>
      <c r="P21" s="424">
        <f t="shared" si="4"/>
        <v>164.1588785046729</v>
      </c>
      <c r="Q21" s="424"/>
      <c r="R21" s="424">
        <f t="shared" si="6"/>
        <v>164.17587085811385</v>
      </c>
    </row>
    <row r="22" spans="1:18" ht="29.25" customHeight="1">
      <c r="A22" s="425">
        <v>0</v>
      </c>
      <c r="B22" s="420">
        <f>B23+B24</f>
        <v>1111953</v>
      </c>
      <c r="C22" s="425">
        <v>0</v>
      </c>
      <c r="D22" s="420">
        <f>D23+D24</f>
        <v>70670506</v>
      </c>
      <c r="E22" s="433" t="s">
        <v>408</v>
      </c>
      <c r="F22" s="422"/>
      <c r="G22" s="425">
        <v>0</v>
      </c>
      <c r="H22" s="420">
        <f>H23+H24</f>
        <v>1049710</v>
      </c>
      <c r="I22" s="425">
        <v>0</v>
      </c>
      <c r="J22" s="420">
        <f>J23+J24</f>
        <v>64571680</v>
      </c>
      <c r="K22" s="427">
        <v>0</v>
      </c>
      <c r="L22" s="420">
        <f>L23+L24</f>
        <v>1155000</v>
      </c>
      <c r="M22" s="425">
        <v>0</v>
      </c>
      <c r="N22" s="420">
        <f>N23+N24</f>
        <v>66404000</v>
      </c>
      <c r="O22" s="428">
        <v>0</v>
      </c>
      <c r="P22" s="428">
        <f t="shared" si="4"/>
        <v>90.8839826839827</v>
      </c>
      <c r="Q22" s="428">
        <v>0</v>
      </c>
      <c r="R22" s="428">
        <f t="shared" si="6"/>
        <v>97.24064815372569</v>
      </c>
    </row>
    <row r="23" spans="1:18" ht="28.5" customHeight="1">
      <c r="A23" s="429">
        <v>0</v>
      </c>
      <c r="B23" s="415">
        <f>56710+62425+506807+232197+91780</f>
        <v>949919</v>
      </c>
      <c r="C23" s="429">
        <v>0</v>
      </c>
      <c r="D23" s="415">
        <f>3289180+3745500+29394806+13931820+2753400</f>
        <v>53114706</v>
      </c>
      <c r="E23" s="148" t="s">
        <v>409</v>
      </c>
      <c r="F23" s="418" t="s">
        <v>537</v>
      </c>
      <c r="G23" s="429">
        <v>0</v>
      </c>
      <c r="H23" s="415">
        <v>947743</v>
      </c>
      <c r="I23" s="429">
        <v>0</v>
      </c>
      <c r="J23" s="415">
        <v>53042980</v>
      </c>
      <c r="K23" s="431">
        <v>0</v>
      </c>
      <c r="L23" s="415">
        <v>1005000</v>
      </c>
      <c r="M23" s="429">
        <v>0</v>
      </c>
      <c r="N23" s="415">
        <v>51404000</v>
      </c>
      <c r="O23" s="424">
        <v>0</v>
      </c>
      <c r="P23" s="424">
        <f t="shared" si="4"/>
        <v>94.30278606965175</v>
      </c>
      <c r="Q23" s="424">
        <v>0</v>
      </c>
      <c r="R23" s="424">
        <f t="shared" si="6"/>
        <v>103.18842891603765</v>
      </c>
    </row>
    <row r="24" spans="1:18" ht="28.5" customHeight="1">
      <c r="A24" s="429"/>
      <c r="B24" s="415">
        <f>40+1994+160000</f>
        <v>162034</v>
      </c>
      <c r="C24" s="429"/>
      <c r="D24" s="415">
        <f>160000+1395800+16000000</f>
        <v>17555800</v>
      </c>
      <c r="E24" s="148" t="s">
        <v>483</v>
      </c>
      <c r="F24" s="418" t="s">
        <v>541</v>
      </c>
      <c r="G24" s="429"/>
      <c r="H24" s="415">
        <v>101967</v>
      </c>
      <c r="I24" s="429"/>
      <c r="J24" s="415">
        <v>11528700</v>
      </c>
      <c r="K24" s="431">
        <v>0</v>
      </c>
      <c r="L24" s="429">
        <v>150000</v>
      </c>
      <c r="M24" s="429">
        <v>0</v>
      </c>
      <c r="N24" s="429">
        <v>15000000</v>
      </c>
      <c r="O24" s="424">
        <v>0</v>
      </c>
      <c r="P24" s="424">
        <f t="shared" si="4"/>
        <v>67.97800000000001</v>
      </c>
      <c r="Q24" s="424">
        <v>0</v>
      </c>
      <c r="R24" s="424">
        <f t="shared" si="6"/>
        <v>76.858</v>
      </c>
    </row>
    <row r="25" spans="1:18" ht="29.25" customHeight="1">
      <c r="A25" s="420">
        <f>SUM(A26:A27)</f>
        <v>7537668</v>
      </c>
      <c r="B25" s="420">
        <f>SUM(B26:B27)</f>
        <v>5809380</v>
      </c>
      <c r="C25" s="420">
        <f>SUM(C26:C27)</f>
        <v>389431806</v>
      </c>
      <c r="D25" s="420">
        <f>SUM(D26:D27)</f>
        <v>67938879</v>
      </c>
      <c r="E25" s="433" t="s">
        <v>193</v>
      </c>
      <c r="F25" s="422"/>
      <c r="G25" s="420">
        <f>SUM(G26:G27)</f>
        <v>7919309</v>
      </c>
      <c r="H25" s="420">
        <f aca="true" t="shared" si="8" ref="H25:N25">SUM(H26:H27)</f>
        <v>6047993</v>
      </c>
      <c r="I25" s="420">
        <f t="shared" si="8"/>
        <v>412449533</v>
      </c>
      <c r="J25" s="420">
        <f t="shared" si="8"/>
        <v>70692895</v>
      </c>
      <c r="K25" s="420">
        <f t="shared" si="8"/>
        <v>6633000</v>
      </c>
      <c r="L25" s="420">
        <f t="shared" si="8"/>
        <v>5704000</v>
      </c>
      <c r="M25" s="420">
        <f t="shared" si="8"/>
        <v>467558000</v>
      </c>
      <c r="N25" s="420">
        <f t="shared" si="8"/>
        <v>60877000</v>
      </c>
      <c r="O25" s="428">
        <f aca="true" t="shared" si="9" ref="O25:R27">G25/K25*100</f>
        <v>119.39256746570179</v>
      </c>
      <c r="P25" s="428">
        <f t="shared" si="9"/>
        <v>106.03073281907433</v>
      </c>
      <c r="Q25" s="428">
        <f t="shared" si="9"/>
        <v>88.21355489586318</v>
      </c>
      <c r="R25" s="428">
        <f t="shared" si="9"/>
        <v>116.12414376529725</v>
      </c>
    </row>
    <row r="26" spans="1:18" ht="28.5" customHeight="1">
      <c r="A26" s="415">
        <v>7537668</v>
      </c>
      <c r="B26" s="415">
        <v>5805942</v>
      </c>
      <c r="C26" s="415">
        <v>389431806</v>
      </c>
      <c r="D26" s="415">
        <v>67497997</v>
      </c>
      <c r="E26" s="434" t="s">
        <v>399</v>
      </c>
      <c r="F26" s="435" t="s">
        <v>400</v>
      </c>
      <c r="G26" s="415">
        <v>7919309</v>
      </c>
      <c r="H26" s="415">
        <v>6037288</v>
      </c>
      <c r="I26" s="415">
        <v>412449533</v>
      </c>
      <c r="J26" s="415">
        <v>70041785</v>
      </c>
      <c r="K26" s="415">
        <v>6633000</v>
      </c>
      <c r="L26" s="415">
        <v>5700000</v>
      </c>
      <c r="M26" s="415">
        <v>467558000</v>
      </c>
      <c r="N26" s="415">
        <v>60477000</v>
      </c>
      <c r="O26" s="424">
        <f t="shared" si="9"/>
        <v>119.39256746570179</v>
      </c>
      <c r="P26" s="424">
        <f t="shared" si="9"/>
        <v>105.91733333333333</v>
      </c>
      <c r="Q26" s="424">
        <f t="shared" si="9"/>
        <v>88.21355489586318</v>
      </c>
      <c r="R26" s="424">
        <f t="shared" si="9"/>
        <v>115.81557451593167</v>
      </c>
    </row>
    <row r="27" spans="1:18" ht="28.5" customHeight="1">
      <c r="A27" s="436">
        <v>0</v>
      </c>
      <c r="B27" s="437">
        <v>3438</v>
      </c>
      <c r="C27" s="436">
        <v>0</v>
      </c>
      <c r="D27" s="437">
        <v>440882</v>
      </c>
      <c r="E27" s="438" t="s">
        <v>401</v>
      </c>
      <c r="F27" s="439" t="s">
        <v>400</v>
      </c>
      <c r="G27" s="436">
        <v>0</v>
      </c>
      <c r="H27" s="437">
        <v>10705</v>
      </c>
      <c r="I27" s="436">
        <v>0</v>
      </c>
      <c r="J27" s="437">
        <v>651110</v>
      </c>
      <c r="K27" s="436">
        <v>0</v>
      </c>
      <c r="L27" s="437">
        <v>4000</v>
      </c>
      <c r="M27" s="436">
        <v>0</v>
      </c>
      <c r="N27" s="437">
        <v>400000</v>
      </c>
      <c r="O27" s="436">
        <v>0</v>
      </c>
      <c r="P27" s="440">
        <f t="shared" si="9"/>
        <v>267.625</v>
      </c>
      <c r="Q27" s="436">
        <v>0</v>
      </c>
      <c r="R27" s="440">
        <f t="shared" si="9"/>
        <v>162.7775</v>
      </c>
    </row>
  </sheetData>
  <sheetProtection/>
  <mergeCells count="16">
    <mergeCell ref="P3:R3"/>
    <mergeCell ref="Q6:R6"/>
    <mergeCell ref="A4:D4"/>
    <mergeCell ref="A5:D5"/>
    <mergeCell ref="F4:F7"/>
    <mergeCell ref="G4:J5"/>
    <mergeCell ref="E4:E7"/>
    <mergeCell ref="K4:N5"/>
    <mergeCell ref="O4:R5"/>
    <mergeCell ref="A6:B6"/>
    <mergeCell ref="C6:D6"/>
    <mergeCell ref="O6:P6"/>
    <mergeCell ref="G6:H6"/>
    <mergeCell ref="I6:J6"/>
    <mergeCell ref="K6:L6"/>
    <mergeCell ref="M6:N6"/>
  </mergeCells>
  <printOptions horizontalCentered="1" verticalCentered="1"/>
  <pageMargins left="0.7874015748031497" right="0.5905511811023623" top="0.5905511811023623" bottom="0.5905511811023623" header="0" footer="0.31496062992125984"/>
  <pageSetup firstPageNumber="58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9.00390625" defaultRowHeight="16.5"/>
  <cols>
    <col min="1" max="1" width="11.00390625" style="53" customWidth="1"/>
    <col min="2" max="2" width="5.625" style="53" customWidth="1"/>
    <col min="3" max="3" width="13.125" style="53" customWidth="1"/>
    <col min="4" max="4" width="12.75390625" style="53" customWidth="1"/>
    <col min="5" max="5" width="6.25390625" style="53" customWidth="1"/>
    <col min="6" max="6" width="11.625" style="53" customWidth="1"/>
    <col min="7" max="7" width="5.625" style="53" customWidth="1"/>
    <col min="8" max="8" width="10.75390625" style="53" customWidth="1"/>
    <col min="9" max="9" width="7.75390625" style="53" customWidth="1"/>
    <col min="10" max="11" width="11.75390625" style="53" customWidth="1"/>
    <col min="12" max="12" width="13.50390625" style="53" customWidth="1"/>
    <col min="13" max="16384" width="9.00390625" style="53" customWidth="1"/>
  </cols>
  <sheetData>
    <row r="1" spans="1:9" ht="26.25" customHeight="1">
      <c r="A1" s="696" t="s">
        <v>86</v>
      </c>
      <c r="B1" s="696"/>
      <c r="C1" s="696"/>
      <c r="D1" s="696"/>
      <c r="E1" s="696"/>
      <c r="F1" s="696"/>
      <c r="G1" s="696"/>
      <c r="H1" s="696"/>
      <c r="I1" s="696"/>
    </row>
    <row r="2" spans="3:8" ht="26.25" customHeight="1">
      <c r="C2" s="699" t="s">
        <v>444</v>
      </c>
      <c r="D2" s="699"/>
      <c r="E2" s="699"/>
      <c r="F2" s="699"/>
      <c r="H2" s="53" t="s">
        <v>475</v>
      </c>
    </row>
    <row r="3" spans="2:8" ht="26.25" customHeight="1">
      <c r="B3" s="441"/>
      <c r="C3" s="663" t="s">
        <v>569</v>
      </c>
      <c r="D3" s="663"/>
      <c r="E3" s="663"/>
      <c r="F3" s="663"/>
      <c r="G3" s="441"/>
      <c r="H3" s="53" t="s">
        <v>99</v>
      </c>
    </row>
    <row r="4" spans="1:12" ht="20.25" customHeight="1">
      <c r="A4" s="695" t="s">
        <v>93</v>
      </c>
      <c r="B4" s="695"/>
      <c r="C4" s="697" t="s">
        <v>476</v>
      </c>
      <c r="D4" s="695" t="s">
        <v>94</v>
      </c>
      <c r="E4" s="695"/>
      <c r="F4" s="695"/>
      <c r="G4" s="695"/>
      <c r="H4" s="695"/>
      <c r="I4" s="695"/>
      <c r="J4" s="442" t="s">
        <v>589</v>
      </c>
      <c r="K4" s="442" t="s">
        <v>587</v>
      </c>
      <c r="L4" s="443" t="s">
        <v>588</v>
      </c>
    </row>
    <row r="5" spans="1:9" ht="21.75" customHeight="1">
      <c r="A5" s="697" t="s">
        <v>375</v>
      </c>
      <c r="B5" s="695" t="s">
        <v>95</v>
      </c>
      <c r="C5" s="700"/>
      <c r="D5" s="695" t="s">
        <v>96</v>
      </c>
      <c r="E5" s="695"/>
      <c r="F5" s="695" t="s">
        <v>74</v>
      </c>
      <c r="G5" s="695"/>
      <c r="H5" s="695" t="s">
        <v>97</v>
      </c>
      <c r="I5" s="695"/>
    </row>
    <row r="6" spans="1:9" ht="42.75">
      <c r="A6" s="698"/>
      <c r="B6" s="695"/>
      <c r="C6" s="701"/>
      <c r="D6" s="444" t="s">
        <v>376</v>
      </c>
      <c r="E6" s="444" t="s">
        <v>377</v>
      </c>
      <c r="F6" s="444" t="s">
        <v>376</v>
      </c>
      <c r="G6" s="444" t="s">
        <v>377</v>
      </c>
      <c r="H6" s="445" t="s">
        <v>378</v>
      </c>
      <c r="I6" s="445" t="s">
        <v>98</v>
      </c>
    </row>
    <row r="7" spans="1:12" ht="49.5" customHeight="1">
      <c r="A7" s="446">
        <v>913038211</v>
      </c>
      <c r="B7" s="447">
        <f aca="true" t="shared" si="0" ref="B7:B12">A7/J7*100</f>
        <v>7.860748370515387</v>
      </c>
      <c r="C7" s="448" t="s">
        <v>186</v>
      </c>
      <c r="D7" s="446">
        <f>'損益機關'!D26</f>
        <v>860736088</v>
      </c>
      <c r="E7" s="449">
        <f aca="true" t="shared" si="1" ref="E7:E12">D7/K7*100</f>
        <v>7.040164521283741</v>
      </c>
      <c r="F7" s="446">
        <v>797375000</v>
      </c>
      <c r="G7" s="449">
        <f aca="true" t="shared" si="2" ref="G7:G12">F7/L7*100</f>
        <v>6.529597059476471</v>
      </c>
      <c r="H7" s="446">
        <f aca="true" t="shared" si="3" ref="H7:H12">D7-F7</f>
        <v>63361088</v>
      </c>
      <c r="I7" s="449">
        <f aca="true" t="shared" si="4" ref="I7:I12">H7/F7*100</f>
        <v>7.9462094999216175</v>
      </c>
      <c r="J7" s="450">
        <v>11615156318</v>
      </c>
      <c r="K7" s="450">
        <f>'損益機關'!D7</f>
        <v>12226079169</v>
      </c>
      <c r="L7" s="450">
        <v>12211703000</v>
      </c>
    </row>
    <row r="8" spans="1:12" ht="49.5" customHeight="1">
      <c r="A8" s="451">
        <v>-11073824</v>
      </c>
      <c r="B8" s="447">
        <f t="shared" si="0"/>
        <v>-6.682419259113217</v>
      </c>
      <c r="C8" s="448" t="s">
        <v>187</v>
      </c>
      <c r="D8" s="451">
        <f>'損益機關'!F26</f>
        <v>-49814531</v>
      </c>
      <c r="E8" s="447">
        <f t="shared" si="1"/>
        <v>-32.93693786832326</v>
      </c>
      <c r="F8" s="451">
        <v>-674000</v>
      </c>
      <c r="G8" s="452">
        <f t="shared" si="2"/>
        <v>-0.2804710582164704</v>
      </c>
      <c r="H8" s="451">
        <f t="shared" si="3"/>
        <v>-49140531</v>
      </c>
      <c r="I8" s="453">
        <f t="shared" si="4"/>
        <v>7290.879970326409</v>
      </c>
      <c r="J8" s="450">
        <v>165715792</v>
      </c>
      <c r="K8" s="450">
        <f>'損益機關'!F7</f>
        <v>151242144</v>
      </c>
      <c r="L8" s="450">
        <v>240310000</v>
      </c>
    </row>
    <row r="9" spans="1:12" ht="49.5" customHeight="1">
      <c r="A9" s="454">
        <v>-5120446</v>
      </c>
      <c r="B9" s="447">
        <f t="shared" si="0"/>
        <v>-5.037366428204214</v>
      </c>
      <c r="C9" s="448" t="s">
        <v>189</v>
      </c>
      <c r="D9" s="451">
        <f>'損益機關'!H26</f>
        <v>-7087152</v>
      </c>
      <c r="E9" s="447">
        <f t="shared" si="1"/>
        <v>-4.450162840003249</v>
      </c>
      <c r="F9" s="451">
        <v>-14923000</v>
      </c>
      <c r="G9" s="452">
        <f t="shared" si="2"/>
        <v>-9.204569285617358</v>
      </c>
      <c r="H9" s="451">
        <f t="shared" si="3"/>
        <v>7835848</v>
      </c>
      <c r="I9" s="453">
        <f t="shared" si="4"/>
        <v>-52.50853045634256</v>
      </c>
      <c r="J9" s="450">
        <v>101649266</v>
      </c>
      <c r="K9" s="450">
        <f>'損益機關'!H7</f>
        <v>159256015</v>
      </c>
      <c r="L9" s="450">
        <v>162126000</v>
      </c>
    </row>
    <row r="10" spans="1:12" ht="49.5" customHeight="1">
      <c r="A10" s="451">
        <v>-65978081</v>
      </c>
      <c r="B10" s="447">
        <f t="shared" si="0"/>
        <v>-46.44326132461554</v>
      </c>
      <c r="C10" s="448" t="s">
        <v>200</v>
      </c>
      <c r="D10" s="451">
        <f>'損益機關'!J26</f>
        <v>-67934619</v>
      </c>
      <c r="E10" s="447">
        <f t="shared" si="1"/>
        <v>-48.04009016270694</v>
      </c>
      <c r="F10" s="451">
        <v>-108486000</v>
      </c>
      <c r="G10" s="455">
        <f t="shared" si="2"/>
        <v>-76.53333333333333</v>
      </c>
      <c r="H10" s="451">
        <f t="shared" si="3"/>
        <v>40551381</v>
      </c>
      <c r="I10" s="452">
        <f t="shared" si="4"/>
        <v>-37.379367844698855</v>
      </c>
      <c r="J10" s="450">
        <v>142061688</v>
      </c>
      <c r="K10" s="450">
        <f>'損益機關'!J7</f>
        <v>141412347</v>
      </c>
      <c r="L10" s="450">
        <v>141750000</v>
      </c>
    </row>
    <row r="11" spans="1:12" ht="49.5" customHeight="1">
      <c r="A11" s="451">
        <v>-1137386</v>
      </c>
      <c r="B11" s="447">
        <f t="shared" si="0"/>
        <v>-1.1962877264532754</v>
      </c>
      <c r="C11" s="448" t="s">
        <v>199</v>
      </c>
      <c r="D11" s="451">
        <f>'損益機關'!L26</f>
        <v>-6629159</v>
      </c>
      <c r="E11" s="447">
        <f t="shared" si="1"/>
        <v>-6.915380441797401</v>
      </c>
      <c r="F11" s="451">
        <v>-7979000</v>
      </c>
      <c r="G11" s="455">
        <f t="shared" si="2"/>
        <v>-8.17486988238187</v>
      </c>
      <c r="H11" s="451">
        <f t="shared" si="3"/>
        <v>1349841</v>
      </c>
      <c r="I11" s="455">
        <f t="shared" si="4"/>
        <v>-16.917420729414715</v>
      </c>
      <c r="J11" s="450">
        <v>95076291</v>
      </c>
      <c r="K11" s="450">
        <f>'損益機關'!L7</f>
        <v>95861089</v>
      </c>
      <c r="L11" s="450">
        <v>97604000</v>
      </c>
    </row>
    <row r="12" spans="1:12" ht="49.5" customHeight="1">
      <c r="A12" s="451">
        <v>-21586524</v>
      </c>
      <c r="B12" s="447">
        <f t="shared" si="0"/>
        <v>-5.582754753832651</v>
      </c>
      <c r="C12" s="448" t="s">
        <v>193</v>
      </c>
      <c r="D12" s="451">
        <f>'損益機關'!N26</f>
        <v>-86827335</v>
      </c>
      <c r="E12" s="447">
        <f t="shared" si="1"/>
        <v>-24.569196768888755</v>
      </c>
      <c r="F12" s="451">
        <v>-190581000</v>
      </c>
      <c r="G12" s="452">
        <f t="shared" si="2"/>
        <v>-61.18366560724261</v>
      </c>
      <c r="H12" s="451">
        <f t="shared" si="3"/>
        <v>103753665</v>
      </c>
      <c r="I12" s="455">
        <f t="shared" si="4"/>
        <v>-54.440718119854544</v>
      </c>
      <c r="J12" s="450">
        <v>386664379</v>
      </c>
      <c r="K12" s="450">
        <f>'損益機關'!N7</f>
        <v>353399160</v>
      </c>
      <c r="L12" s="450">
        <v>311490000</v>
      </c>
    </row>
    <row r="13" spans="1:12" ht="16.5">
      <c r="A13" s="456"/>
      <c r="B13" s="457"/>
      <c r="C13" s="458"/>
      <c r="D13" s="453"/>
      <c r="E13" s="148"/>
      <c r="F13" s="453"/>
      <c r="G13" s="148"/>
      <c r="H13" s="459"/>
      <c r="I13" s="460"/>
      <c r="J13" s="461">
        <f>SUM(J7:J12)</f>
        <v>12506323734</v>
      </c>
      <c r="K13" s="461">
        <f>SUM(K7:K12)</f>
        <v>13127249924</v>
      </c>
      <c r="L13" s="461">
        <f>SUM(L7:L12)</f>
        <v>13164983000</v>
      </c>
    </row>
    <row r="14" spans="1:12" ht="16.5">
      <c r="A14" s="462"/>
      <c r="B14" s="457"/>
      <c r="C14" s="458"/>
      <c r="D14" s="148"/>
      <c r="E14" s="148"/>
      <c r="F14" s="148"/>
      <c r="G14" s="148"/>
      <c r="H14" s="459"/>
      <c r="I14" s="460"/>
      <c r="J14" s="463"/>
      <c r="K14" s="463"/>
      <c r="L14" s="463"/>
    </row>
    <row r="15" spans="1:12" ht="16.5">
      <c r="A15" s="462"/>
      <c r="B15" s="457"/>
      <c r="C15" s="458"/>
      <c r="D15" s="148"/>
      <c r="E15" s="148"/>
      <c r="F15" s="148"/>
      <c r="G15" s="148"/>
      <c r="H15" s="459"/>
      <c r="I15" s="460"/>
      <c r="J15" s="463"/>
      <c r="K15" s="463"/>
      <c r="L15" s="463"/>
    </row>
    <row r="16" spans="1:12" ht="16.5">
      <c r="A16" s="462"/>
      <c r="B16" s="457"/>
      <c r="C16" s="458"/>
      <c r="D16" s="148"/>
      <c r="E16" s="148"/>
      <c r="F16" s="148"/>
      <c r="G16" s="148"/>
      <c r="H16" s="459"/>
      <c r="I16" s="460"/>
      <c r="J16" s="463"/>
      <c r="K16" s="463"/>
      <c r="L16" s="463"/>
    </row>
    <row r="17" spans="1:12" ht="16.5">
      <c r="A17" s="462"/>
      <c r="B17" s="457"/>
      <c r="C17" s="458"/>
      <c r="D17" s="148"/>
      <c r="E17" s="148"/>
      <c r="F17" s="148"/>
      <c r="G17" s="148"/>
      <c r="H17" s="459"/>
      <c r="I17" s="460"/>
      <c r="J17" s="463"/>
      <c r="K17" s="463"/>
      <c r="L17" s="463"/>
    </row>
    <row r="18" spans="1:12" ht="16.5">
      <c r="A18" s="462"/>
      <c r="B18" s="457"/>
      <c r="C18" s="458"/>
      <c r="D18" s="148"/>
      <c r="E18" s="148"/>
      <c r="F18" s="148"/>
      <c r="G18" s="148"/>
      <c r="H18" s="459"/>
      <c r="I18" s="460"/>
      <c r="J18" s="463"/>
      <c r="K18" s="463"/>
      <c r="L18" s="463"/>
    </row>
    <row r="19" spans="1:12" ht="16.5">
      <c r="A19" s="462"/>
      <c r="B19" s="457"/>
      <c r="C19" s="458"/>
      <c r="D19" s="148"/>
      <c r="E19" s="148"/>
      <c r="F19" s="148"/>
      <c r="G19" s="148"/>
      <c r="H19" s="459"/>
      <c r="I19" s="460"/>
      <c r="J19" s="463"/>
      <c r="K19" s="463"/>
      <c r="L19" s="463"/>
    </row>
    <row r="20" spans="1:12" ht="16.5">
      <c r="A20" s="462"/>
      <c r="B20" s="457"/>
      <c r="C20" s="458"/>
      <c r="D20" s="148"/>
      <c r="E20" s="148"/>
      <c r="F20" s="148"/>
      <c r="G20" s="148"/>
      <c r="H20" s="459"/>
      <c r="I20" s="460"/>
      <c r="J20" s="463"/>
      <c r="K20" s="463"/>
      <c r="L20" s="463"/>
    </row>
    <row r="21" spans="1:12" ht="16.5">
      <c r="A21" s="462"/>
      <c r="B21" s="457"/>
      <c r="C21" s="458"/>
      <c r="D21" s="148"/>
      <c r="E21" s="148"/>
      <c r="F21" s="148"/>
      <c r="G21" s="148"/>
      <c r="H21" s="459"/>
      <c r="I21" s="460"/>
      <c r="J21" s="463"/>
      <c r="K21" s="463"/>
      <c r="L21" s="463"/>
    </row>
    <row r="22" spans="1:9" ht="16.5">
      <c r="A22" s="462"/>
      <c r="B22" s="457"/>
      <c r="C22" s="458"/>
      <c r="D22" s="148"/>
      <c r="E22" s="148"/>
      <c r="F22" s="148"/>
      <c r="G22" s="148"/>
      <c r="H22" s="459"/>
      <c r="I22" s="460"/>
    </row>
    <row r="23" spans="1:9" ht="16.5">
      <c r="A23" s="462"/>
      <c r="B23" s="457"/>
      <c r="C23" s="458"/>
      <c r="D23" s="148"/>
      <c r="E23" s="148"/>
      <c r="F23" s="148"/>
      <c r="G23" s="148"/>
      <c r="H23" s="459"/>
      <c r="I23" s="460"/>
    </row>
    <row r="24" spans="1:9" ht="16.5">
      <c r="A24" s="462"/>
      <c r="B24" s="457"/>
      <c r="C24" s="458"/>
      <c r="D24" s="148"/>
      <c r="E24" s="148"/>
      <c r="F24" s="148"/>
      <c r="G24" s="148"/>
      <c r="H24" s="459"/>
      <c r="I24" s="460"/>
    </row>
    <row r="25" spans="1:9" ht="16.5">
      <c r="A25" s="462"/>
      <c r="B25" s="457"/>
      <c r="C25" s="458"/>
      <c r="D25" s="148"/>
      <c r="E25" s="148"/>
      <c r="F25" s="148"/>
      <c r="G25" s="148"/>
      <c r="H25" s="459"/>
      <c r="I25" s="460"/>
    </row>
    <row r="26" spans="1:9" ht="16.5">
      <c r="A26" s="462"/>
      <c r="B26" s="457"/>
      <c r="C26" s="458"/>
      <c r="D26" s="148"/>
      <c r="E26" s="148"/>
      <c r="F26" s="148"/>
      <c r="G26" s="148"/>
      <c r="H26" s="459"/>
      <c r="I26" s="460"/>
    </row>
    <row r="27" spans="1:9" ht="16.5">
      <c r="A27" s="462"/>
      <c r="B27" s="457"/>
      <c r="C27" s="458"/>
      <c r="D27" s="148"/>
      <c r="E27" s="148"/>
      <c r="F27" s="148"/>
      <c r="G27" s="148"/>
      <c r="H27" s="459"/>
      <c r="I27" s="460"/>
    </row>
    <row r="28" spans="1:9" ht="16.5">
      <c r="A28" s="462"/>
      <c r="B28" s="457"/>
      <c r="C28" s="458"/>
      <c r="D28" s="148"/>
      <c r="E28" s="148"/>
      <c r="F28" s="148"/>
      <c r="G28" s="148"/>
      <c r="H28" s="459"/>
      <c r="I28" s="460"/>
    </row>
    <row r="29" spans="1:9" s="151" customFormat="1" ht="30" customHeight="1">
      <c r="A29" s="464">
        <f>SUM(A7:A28)</f>
        <v>808141950</v>
      </c>
      <c r="B29" s="465">
        <f>A29/J13*100</f>
        <v>6.461866549983553</v>
      </c>
      <c r="C29" s="466" t="s">
        <v>75</v>
      </c>
      <c r="D29" s="464">
        <f>SUM(D7:D28)</f>
        <v>642443292</v>
      </c>
      <c r="E29" s="467">
        <f>D29/K13*100</f>
        <v>4.893967096836086</v>
      </c>
      <c r="F29" s="464">
        <f>SUM(F7:F28)</f>
        <v>474732000</v>
      </c>
      <c r="G29" s="467">
        <f>F29/L13*100</f>
        <v>3.606020607850386</v>
      </c>
      <c r="H29" s="464">
        <f>SUM(H7:H28)</f>
        <v>167711292</v>
      </c>
      <c r="I29" s="467">
        <f>H29/F29*100</f>
        <v>35.327572609388035</v>
      </c>
    </row>
  </sheetData>
  <sheetProtection/>
  <mergeCells count="11">
    <mergeCell ref="D4:I4"/>
    <mergeCell ref="B5:B6"/>
    <mergeCell ref="D5:E5"/>
    <mergeCell ref="F5:G5"/>
    <mergeCell ref="H5:I5"/>
    <mergeCell ref="A1:I1"/>
    <mergeCell ref="A5:A6"/>
    <mergeCell ref="C2:F2"/>
    <mergeCell ref="C3:F3"/>
    <mergeCell ref="A4:B4"/>
    <mergeCell ref="C4:C6"/>
  </mergeCells>
  <printOptions horizontalCentered="1" verticalCentered="1"/>
  <pageMargins left="0.7874015748031497" right="0.7874015748031497" top="0.5905511811023623" bottom="0.5905511811023623" header="0" footer="0.31496062992125984"/>
  <pageSetup firstPageNumber="60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38" sqref="F38"/>
    </sheetView>
  </sheetViews>
  <sheetFormatPr defaultColWidth="8.75390625" defaultRowHeight="16.5"/>
  <cols>
    <col min="1" max="1" width="12.125" style="199" customWidth="1"/>
    <col min="2" max="2" width="4.125" style="204" customWidth="1"/>
    <col min="3" max="3" width="18.625" style="199" customWidth="1"/>
    <col min="4" max="4" width="12.75390625" style="199" customWidth="1"/>
    <col min="5" max="5" width="4.125" style="204" customWidth="1"/>
    <col min="6" max="6" width="12.75390625" style="199" customWidth="1"/>
    <col min="7" max="7" width="4.125" style="204" customWidth="1"/>
    <col min="8" max="8" width="12.00390625" style="199" customWidth="1"/>
    <col min="9" max="9" width="4.25390625" style="199" customWidth="1"/>
    <col min="10" max="10" width="12.875" style="204" customWidth="1"/>
    <col min="11" max="11" width="13.75390625" style="204" customWidth="1"/>
    <col min="12" max="12" width="11.25390625" style="204" customWidth="1"/>
    <col min="13" max="16384" width="8.75390625" style="204" customWidth="1"/>
  </cols>
  <sheetData>
    <row r="1" spans="1:9" ht="26.25" customHeight="1">
      <c r="A1" s="599" t="s">
        <v>182</v>
      </c>
      <c r="B1" s="599"/>
      <c r="C1" s="599"/>
      <c r="D1" s="599"/>
      <c r="E1" s="599"/>
      <c r="F1" s="599"/>
      <c r="G1" s="599"/>
      <c r="H1" s="599"/>
      <c r="I1" s="599"/>
    </row>
    <row r="2" spans="1:9" ht="26.25" customHeight="1">
      <c r="A2" s="233"/>
      <c r="B2" s="234"/>
      <c r="C2" s="613" t="s">
        <v>421</v>
      </c>
      <c r="D2" s="599"/>
      <c r="E2" s="599"/>
      <c r="F2" s="599"/>
      <c r="G2" s="600" t="s">
        <v>420</v>
      </c>
      <c r="H2" s="601"/>
      <c r="I2" s="601"/>
    </row>
    <row r="3" spans="3:8" ht="26.25" customHeight="1">
      <c r="C3" s="614" t="s">
        <v>836</v>
      </c>
      <c r="D3" s="615"/>
      <c r="E3" s="615"/>
      <c r="F3" s="615"/>
      <c r="H3" s="199" t="s">
        <v>465</v>
      </c>
    </row>
    <row r="4" spans="1:9" ht="20.25" customHeight="1">
      <c r="A4" s="602" t="s">
        <v>7</v>
      </c>
      <c r="B4" s="603"/>
      <c r="C4" s="604" t="s">
        <v>837</v>
      </c>
      <c r="D4" s="607" t="s">
        <v>331</v>
      </c>
      <c r="E4" s="603"/>
      <c r="F4" s="603"/>
      <c r="G4" s="603"/>
      <c r="H4" s="603"/>
      <c r="I4" s="603"/>
    </row>
    <row r="5" spans="1:9" ht="20.25" customHeight="1">
      <c r="A5" s="608" t="s">
        <v>203</v>
      </c>
      <c r="B5" s="610" t="s">
        <v>8</v>
      </c>
      <c r="C5" s="605"/>
      <c r="D5" s="608" t="s">
        <v>73</v>
      </c>
      <c r="E5" s="612"/>
      <c r="F5" s="608" t="s">
        <v>332</v>
      </c>
      <c r="G5" s="612"/>
      <c r="H5" s="608" t="s">
        <v>333</v>
      </c>
      <c r="I5" s="612"/>
    </row>
    <row r="6" spans="1:9" ht="20.25" customHeight="1">
      <c r="A6" s="609"/>
      <c r="B6" s="611"/>
      <c r="C6" s="606"/>
      <c r="D6" s="210" t="s">
        <v>184</v>
      </c>
      <c r="E6" s="211" t="s">
        <v>8</v>
      </c>
      <c r="F6" s="210" t="s">
        <v>184</v>
      </c>
      <c r="G6" s="211" t="s">
        <v>8</v>
      </c>
      <c r="H6" s="210" t="s">
        <v>184</v>
      </c>
      <c r="I6" s="211" t="s">
        <v>8</v>
      </c>
    </row>
    <row r="7" spans="1:12" ht="21" customHeight="1">
      <c r="A7" s="214">
        <f>SUM(A8:A12)</f>
        <v>12506323734</v>
      </c>
      <c r="B7" s="236">
        <f>(A7/A$7)*100</f>
        <v>100</v>
      </c>
      <c r="C7" s="237" t="s">
        <v>47</v>
      </c>
      <c r="D7" s="214">
        <f>SUM(D8:D12)</f>
        <v>13127249924</v>
      </c>
      <c r="E7" s="238">
        <f>(D7/D$7)*100</f>
        <v>100</v>
      </c>
      <c r="F7" s="214">
        <f>SUM(F8:F12)</f>
        <v>13164983000</v>
      </c>
      <c r="G7" s="238">
        <f>(F7/F$7)*100</f>
        <v>100</v>
      </c>
      <c r="H7" s="214">
        <f>D7-F7</f>
        <v>-37733076</v>
      </c>
      <c r="I7" s="239">
        <f>H7/F7*100</f>
        <v>-0.28661697474277026</v>
      </c>
      <c r="J7" s="240"/>
      <c r="K7" s="241"/>
      <c r="L7" s="240"/>
    </row>
    <row r="8" spans="1:12" ht="21" customHeight="1">
      <c r="A8" s="242">
        <v>11774543440</v>
      </c>
      <c r="B8" s="243">
        <f aca="true" t="shared" si="0" ref="B8:B36">(A8/A$7)*100</f>
        <v>94.14871780417323</v>
      </c>
      <c r="C8" s="227" t="s">
        <v>48</v>
      </c>
      <c r="D8" s="218">
        <f>'損益機關'!B8</f>
        <v>12367569148</v>
      </c>
      <c r="E8" s="243">
        <f aca="true" t="shared" si="1" ref="E8:E36">(D8/D$7)*100</f>
        <v>94.21294802492403</v>
      </c>
      <c r="F8" s="218">
        <v>12436298000</v>
      </c>
      <c r="G8" s="243">
        <f aca="true" t="shared" si="2" ref="G8:G35">(F8/F$7)*100</f>
        <v>94.4649757618373</v>
      </c>
      <c r="H8" s="218">
        <f aca="true" t="shared" si="3" ref="H8:H36">D8-F8</f>
        <v>-68728852</v>
      </c>
      <c r="I8" s="244">
        <f>H8/F8*100</f>
        <v>-0.5526471945268601</v>
      </c>
      <c r="J8" s="240"/>
      <c r="K8" s="241"/>
      <c r="L8" s="240"/>
    </row>
    <row r="9" spans="1:12" ht="21" customHeight="1">
      <c r="A9" s="242">
        <v>67938879</v>
      </c>
      <c r="B9" s="243">
        <f t="shared" si="0"/>
        <v>0.5432362094969578</v>
      </c>
      <c r="C9" s="227" t="s">
        <v>49</v>
      </c>
      <c r="D9" s="218">
        <f>'損益機關'!B9</f>
        <v>70692895</v>
      </c>
      <c r="E9" s="243">
        <f t="shared" si="1"/>
        <v>0.5385202186998448</v>
      </c>
      <c r="F9" s="218">
        <v>60877000</v>
      </c>
      <c r="G9" s="243">
        <f t="shared" si="2"/>
        <v>0.46241609275150597</v>
      </c>
      <c r="H9" s="218">
        <f t="shared" si="3"/>
        <v>9815895</v>
      </c>
      <c r="I9" s="244">
        <f aca="true" t="shared" si="4" ref="I9:I36">H9/F9*100</f>
        <v>16.124143765297237</v>
      </c>
      <c r="J9" s="240"/>
      <c r="K9" s="241"/>
      <c r="L9" s="240"/>
    </row>
    <row r="10" spans="1:12" ht="21" customHeight="1">
      <c r="A10" s="242">
        <v>129732194</v>
      </c>
      <c r="B10" s="243">
        <f t="shared" si="0"/>
        <v>1.0373327666811218</v>
      </c>
      <c r="C10" s="227" t="s">
        <v>50</v>
      </c>
      <c r="D10" s="218">
        <f>'損益機關'!B10</f>
        <v>122984027</v>
      </c>
      <c r="E10" s="243">
        <f t="shared" si="1"/>
        <v>0.9368605588528749</v>
      </c>
      <c r="F10" s="218">
        <v>125154000</v>
      </c>
      <c r="G10" s="243">
        <f t="shared" si="2"/>
        <v>0.9506582727831855</v>
      </c>
      <c r="H10" s="218">
        <f t="shared" si="3"/>
        <v>-2169973</v>
      </c>
      <c r="I10" s="244">
        <f t="shared" si="4"/>
        <v>-1.7338423062786645</v>
      </c>
      <c r="J10" s="240"/>
      <c r="K10" s="241"/>
      <c r="L10" s="240"/>
    </row>
    <row r="11" spans="1:12" ht="21" customHeight="1">
      <c r="A11" s="242">
        <v>38649266</v>
      </c>
      <c r="B11" s="243">
        <f t="shared" si="0"/>
        <v>0.30903778617954014</v>
      </c>
      <c r="C11" s="227" t="s">
        <v>51</v>
      </c>
      <c r="D11" s="218">
        <f>'損益機關'!B11</f>
        <v>36256015</v>
      </c>
      <c r="E11" s="243">
        <f t="shared" si="1"/>
        <v>0.2761889596823677</v>
      </c>
      <c r="F11" s="218">
        <v>39126000</v>
      </c>
      <c r="G11" s="243">
        <f t="shared" si="2"/>
        <v>0.297197497330608</v>
      </c>
      <c r="H11" s="218">
        <f t="shared" si="3"/>
        <v>-2869985</v>
      </c>
      <c r="I11" s="244">
        <f t="shared" si="4"/>
        <v>-7.335237438020753</v>
      </c>
      <c r="J11" s="240"/>
      <c r="K11" s="241"/>
      <c r="L11" s="240"/>
    </row>
    <row r="12" spans="1:12" ht="21" customHeight="1">
      <c r="A12" s="242">
        <v>495459955</v>
      </c>
      <c r="B12" s="243">
        <f t="shared" si="0"/>
        <v>3.9616754334691526</v>
      </c>
      <c r="C12" s="227" t="s">
        <v>197</v>
      </c>
      <c r="D12" s="218">
        <f>'損益機關'!B12</f>
        <v>529747839</v>
      </c>
      <c r="E12" s="243">
        <f t="shared" si="1"/>
        <v>4.035482237840877</v>
      </c>
      <c r="F12" s="218">
        <v>503528000</v>
      </c>
      <c r="G12" s="243">
        <f t="shared" si="2"/>
        <v>3.8247523752974084</v>
      </c>
      <c r="H12" s="218">
        <f t="shared" si="3"/>
        <v>26219839</v>
      </c>
      <c r="I12" s="244">
        <f t="shared" si="4"/>
        <v>5.20722561605313</v>
      </c>
      <c r="J12" s="240"/>
      <c r="K12" s="241" t="s">
        <v>497</v>
      </c>
      <c r="L12" s="240"/>
    </row>
    <row r="13" spans="1:12" ht="21" customHeight="1">
      <c r="A13" s="224">
        <f>SUM(A14:A19)</f>
        <v>6117231197</v>
      </c>
      <c r="B13" s="245">
        <f t="shared" si="0"/>
        <v>48.91310449904271</v>
      </c>
      <c r="C13" s="246" t="s">
        <v>52</v>
      </c>
      <c r="D13" s="224">
        <f>SUM(D14:D19)</f>
        <v>6750948086</v>
      </c>
      <c r="E13" s="245">
        <f t="shared" si="1"/>
        <v>51.42697918516448</v>
      </c>
      <c r="F13" s="224">
        <f>SUM(F14:F19)</f>
        <v>6805091000</v>
      </c>
      <c r="G13" s="245">
        <f t="shared" si="2"/>
        <v>51.690845328094994</v>
      </c>
      <c r="H13" s="224">
        <f t="shared" si="3"/>
        <v>-54142914</v>
      </c>
      <c r="I13" s="247">
        <f t="shared" si="4"/>
        <v>-0.7956236588166123</v>
      </c>
      <c r="J13" s="240"/>
      <c r="K13" s="241"/>
      <c r="L13" s="240"/>
    </row>
    <row r="14" spans="1:12" ht="21" customHeight="1">
      <c r="A14" s="242">
        <v>5430709870</v>
      </c>
      <c r="B14" s="243">
        <f t="shared" si="0"/>
        <v>43.42371096020758</v>
      </c>
      <c r="C14" s="227" t="s">
        <v>53</v>
      </c>
      <c r="D14" s="218">
        <f>'損益機關'!B14</f>
        <v>5962735551</v>
      </c>
      <c r="E14" s="243">
        <f t="shared" si="1"/>
        <v>45.422579637937574</v>
      </c>
      <c r="F14" s="218">
        <v>5926001000</v>
      </c>
      <c r="G14" s="243">
        <f t="shared" si="2"/>
        <v>45.01335854364567</v>
      </c>
      <c r="H14" s="218">
        <f t="shared" si="3"/>
        <v>36734551</v>
      </c>
      <c r="I14" s="244">
        <f t="shared" si="4"/>
        <v>0.619887694922765</v>
      </c>
      <c r="J14" s="240"/>
      <c r="K14" s="241"/>
      <c r="L14" s="240"/>
    </row>
    <row r="15" spans="1:12" ht="21" customHeight="1">
      <c r="A15" s="242">
        <v>0</v>
      </c>
      <c r="B15" s="243">
        <v>0</v>
      </c>
      <c r="C15" s="227" t="s">
        <v>279</v>
      </c>
      <c r="D15" s="248">
        <v>0</v>
      </c>
      <c r="E15" s="249">
        <v>0</v>
      </c>
      <c r="F15" s="248">
        <v>0</v>
      </c>
      <c r="G15" s="249">
        <v>0</v>
      </c>
      <c r="H15" s="248">
        <v>0</v>
      </c>
      <c r="I15" s="250">
        <v>0</v>
      </c>
      <c r="J15" s="240"/>
      <c r="K15" s="241"/>
      <c r="L15" s="240"/>
    </row>
    <row r="16" spans="1:12" ht="21" customHeight="1">
      <c r="A16" s="242">
        <v>298150964</v>
      </c>
      <c r="B16" s="243">
        <f t="shared" si="0"/>
        <v>2.3840016486174864</v>
      </c>
      <c r="C16" s="227" t="s">
        <v>14</v>
      </c>
      <c r="D16" s="218">
        <f>'損益機關'!B16</f>
        <v>317271283</v>
      </c>
      <c r="E16" s="243">
        <f t="shared" si="1"/>
        <v>2.4168907032077316</v>
      </c>
      <c r="F16" s="218">
        <v>357105000</v>
      </c>
      <c r="G16" s="243">
        <f t="shared" si="2"/>
        <v>2.7125367347606906</v>
      </c>
      <c r="H16" s="218">
        <f t="shared" si="3"/>
        <v>-39833717</v>
      </c>
      <c r="I16" s="244">
        <f t="shared" si="4"/>
        <v>-11.154623150053904</v>
      </c>
      <c r="J16" s="240"/>
      <c r="K16" s="241"/>
      <c r="L16" s="240"/>
    </row>
    <row r="17" spans="1:12" ht="21" customHeight="1">
      <c r="A17" s="242">
        <v>212550627</v>
      </c>
      <c r="B17" s="243">
        <f t="shared" si="0"/>
        <v>1.6995452182495054</v>
      </c>
      <c r="C17" s="227" t="s">
        <v>54</v>
      </c>
      <c r="D17" s="218">
        <f>'損益機關'!B17</f>
        <v>223919193</v>
      </c>
      <c r="E17" s="243">
        <f t="shared" si="1"/>
        <v>1.7057585884048563</v>
      </c>
      <c r="F17" s="218">
        <v>251580000</v>
      </c>
      <c r="G17" s="243">
        <f t="shared" si="2"/>
        <v>1.9109785405723654</v>
      </c>
      <c r="H17" s="218">
        <f t="shared" si="3"/>
        <v>-27660807</v>
      </c>
      <c r="I17" s="244">
        <f t="shared" si="4"/>
        <v>-10.994835440019079</v>
      </c>
      <c r="J17" s="240"/>
      <c r="K17" s="241"/>
      <c r="L17" s="240"/>
    </row>
    <row r="18" spans="1:12" ht="21" customHeight="1">
      <c r="A18" s="242">
        <v>75892907</v>
      </c>
      <c r="B18" s="243">
        <f t="shared" si="0"/>
        <v>0.6068362583136695</v>
      </c>
      <c r="C18" s="227" t="s">
        <v>55</v>
      </c>
      <c r="D18" s="218">
        <f>'損益機關'!B18</f>
        <v>135110147</v>
      </c>
      <c r="E18" s="243">
        <f t="shared" si="1"/>
        <v>1.0292342096190596</v>
      </c>
      <c r="F18" s="218">
        <v>144473000</v>
      </c>
      <c r="G18" s="243">
        <f t="shared" si="2"/>
        <v>1.097403619890736</v>
      </c>
      <c r="H18" s="218">
        <f t="shared" si="3"/>
        <v>-9362853</v>
      </c>
      <c r="I18" s="244">
        <f t="shared" si="4"/>
        <v>-6.4806939704996775</v>
      </c>
      <c r="J18" s="240"/>
      <c r="K18" s="241"/>
      <c r="L18" s="240"/>
    </row>
    <row r="19" spans="1:12" ht="21" customHeight="1">
      <c r="A19" s="242">
        <v>99926829</v>
      </c>
      <c r="B19" s="243">
        <f t="shared" si="0"/>
        <v>0.7990104136544656</v>
      </c>
      <c r="C19" s="227" t="s">
        <v>56</v>
      </c>
      <c r="D19" s="218">
        <f>'損益機關'!B19</f>
        <v>111911912</v>
      </c>
      <c r="E19" s="243">
        <f t="shared" si="1"/>
        <v>0.8525160459952555</v>
      </c>
      <c r="F19" s="218">
        <v>125932000</v>
      </c>
      <c r="G19" s="243">
        <f t="shared" si="2"/>
        <v>0.956567889225531</v>
      </c>
      <c r="H19" s="218">
        <f t="shared" si="3"/>
        <v>-14020088</v>
      </c>
      <c r="I19" s="244">
        <f t="shared" si="4"/>
        <v>-11.133062287583776</v>
      </c>
      <c r="J19" s="240"/>
      <c r="K19" s="241"/>
      <c r="L19" s="240"/>
    </row>
    <row r="20" spans="1:12" ht="21" customHeight="1">
      <c r="A20" s="224">
        <f>A7-A13</f>
        <v>6389092537</v>
      </c>
      <c r="B20" s="245">
        <f t="shared" si="0"/>
        <v>51.0868955009573</v>
      </c>
      <c r="C20" s="251" t="s">
        <v>170</v>
      </c>
      <c r="D20" s="224">
        <f>D7-D13</f>
        <v>6376301838</v>
      </c>
      <c r="E20" s="245">
        <f t="shared" si="1"/>
        <v>48.57302081483552</v>
      </c>
      <c r="F20" s="224">
        <f>F7-F13</f>
        <v>6359892000</v>
      </c>
      <c r="G20" s="245">
        <f t="shared" si="2"/>
        <v>48.309154671905006</v>
      </c>
      <c r="H20" s="224">
        <f t="shared" si="3"/>
        <v>16409838</v>
      </c>
      <c r="I20" s="247">
        <f t="shared" si="4"/>
        <v>0.2580207022383399</v>
      </c>
      <c r="J20" s="240"/>
      <c r="K20" s="241"/>
      <c r="L20" s="240"/>
    </row>
    <row r="21" spans="1:12" ht="21" customHeight="1">
      <c r="A21" s="224">
        <f>SUM(A22:A25)</f>
        <v>5580950587</v>
      </c>
      <c r="B21" s="245">
        <f t="shared" si="0"/>
        <v>44.625028950973736</v>
      </c>
      <c r="C21" s="246" t="s">
        <v>334</v>
      </c>
      <c r="D21" s="224">
        <f>SUM(D22:D25)</f>
        <v>5733858546</v>
      </c>
      <c r="E21" s="245">
        <f t="shared" si="1"/>
        <v>43.67905371799943</v>
      </c>
      <c r="F21" s="224">
        <f>SUM(F22:F25)</f>
        <v>5885160000</v>
      </c>
      <c r="G21" s="245">
        <f t="shared" si="2"/>
        <v>44.70313406405462</v>
      </c>
      <c r="H21" s="224">
        <f t="shared" si="3"/>
        <v>-151301454</v>
      </c>
      <c r="I21" s="247">
        <f t="shared" si="4"/>
        <v>-2.5708978855290257</v>
      </c>
      <c r="J21" s="240"/>
      <c r="K21" s="241"/>
      <c r="L21" s="240"/>
    </row>
    <row r="22" spans="1:12" ht="21" customHeight="1">
      <c r="A22" s="242">
        <v>470280789</v>
      </c>
      <c r="B22" s="243">
        <f t="shared" si="0"/>
        <v>3.760343958804481</v>
      </c>
      <c r="C22" s="227" t="s">
        <v>57</v>
      </c>
      <c r="D22" s="218">
        <f>'損益機關'!B22</f>
        <v>373112864</v>
      </c>
      <c r="E22" s="243">
        <f t="shared" si="1"/>
        <v>2.8422774469910363</v>
      </c>
      <c r="F22" s="218">
        <v>668153000</v>
      </c>
      <c r="G22" s="243">
        <f t="shared" si="2"/>
        <v>5.075228733679337</v>
      </c>
      <c r="H22" s="218">
        <f t="shared" si="3"/>
        <v>-295040136</v>
      </c>
      <c r="I22" s="244">
        <f t="shared" si="4"/>
        <v>-44.157571095243156</v>
      </c>
      <c r="J22" s="240"/>
      <c r="K22" s="241"/>
      <c r="L22" s="240"/>
    </row>
    <row r="23" spans="1:12" ht="21" customHeight="1">
      <c r="A23" s="242">
        <v>69104352</v>
      </c>
      <c r="B23" s="243">
        <f t="shared" si="0"/>
        <v>0.5525552789916289</v>
      </c>
      <c r="C23" s="227" t="s">
        <v>58</v>
      </c>
      <c r="D23" s="218">
        <f>'損益機關'!B23</f>
        <v>66736329</v>
      </c>
      <c r="E23" s="243">
        <f t="shared" si="1"/>
        <v>0.508380120637368</v>
      </c>
      <c r="F23" s="218">
        <v>81575000</v>
      </c>
      <c r="G23" s="243">
        <f t="shared" si="2"/>
        <v>0.6196361970235739</v>
      </c>
      <c r="H23" s="218">
        <f t="shared" si="3"/>
        <v>-14838671</v>
      </c>
      <c r="I23" s="244">
        <f t="shared" si="4"/>
        <v>-18.190218817039533</v>
      </c>
      <c r="J23" s="240"/>
      <c r="K23" s="241"/>
      <c r="L23" s="240"/>
    </row>
    <row r="24" spans="1:12" ht="21" customHeight="1">
      <c r="A24" s="242">
        <v>4994986695</v>
      </c>
      <c r="B24" s="243">
        <f t="shared" si="0"/>
        <v>39.93968812290142</v>
      </c>
      <c r="C24" s="227" t="s">
        <v>59</v>
      </c>
      <c r="D24" s="218">
        <f>'損益機關'!B24</f>
        <v>5254248648</v>
      </c>
      <c r="E24" s="243">
        <f t="shared" si="1"/>
        <v>40.02550936730379</v>
      </c>
      <c r="F24" s="218">
        <v>5069523000</v>
      </c>
      <c r="G24" s="243">
        <f t="shared" si="2"/>
        <v>38.50763043142555</v>
      </c>
      <c r="H24" s="218">
        <f t="shared" si="3"/>
        <v>184725648</v>
      </c>
      <c r="I24" s="244">
        <f t="shared" si="4"/>
        <v>3.643846728775074</v>
      </c>
      <c r="J24" s="240"/>
      <c r="K24" s="241"/>
      <c r="L24" s="240"/>
    </row>
    <row r="25" spans="1:12" ht="21" customHeight="1">
      <c r="A25" s="242">
        <v>46578751</v>
      </c>
      <c r="B25" s="243">
        <f t="shared" si="0"/>
        <v>0.3724415902762045</v>
      </c>
      <c r="C25" s="227" t="s">
        <v>60</v>
      </c>
      <c r="D25" s="218">
        <f>'損益機關'!B25</f>
        <v>39760705</v>
      </c>
      <c r="E25" s="243">
        <f t="shared" si="1"/>
        <v>0.30288678306723765</v>
      </c>
      <c r="F25" s="218">
        <v>65909000</v>
      </c>
      <c r="G25" s="243">
        <f t="shared" si="2"/>
        <v>0.5006387019261627</v>
      </c>
      <c r="H25" s="218">
        <f t="shared" si="3"/>
        <v>-26148295</v>
      </c>
      <c r="I25" s="244">
        <f t="shared" si="4"/>
        <v>-39.673329894248134</v>
      </c>
      <c r="J25" s="240"/>
      <c r="K25" s="241"/>
      <c r="L25" s="240"/>
    </row>
    <row r="26" spans="1:12" ht="21" customHeight="1">
      <c r="A26" s="224">
        <f>A20-A21</f>
        <v>808141950</v>
      </c>
      <c r="B26" s="245">
        <f t="shared" si="0"/>
        <v>6.461866549983553</v>
      </c>
      <c r="C26" s="251" t="s">
        <v>248</v>
      </c>
      <c r="D26" s="224">
        <f>D20-D21</f>
        <v>642443292</v>
      </c>
      <c r="E26" s="245">
        <f t="shared" si="1"/>
        <v>4.893967096836086</v>
      </c>
      <c r="F26" s="224">
        <f>F20-F21</f>
        <v>474732000</v>
      </c>
      <c r="G26" s="245">
        <f t="shared" si="2"/>
        <v>3.606020607850386</v>
      </c>
      <c r="H26" s="224">
        <f t="shared" si="3"/>
        <v>167711292</v>
      </c>
      <c r="I26" s="247">
        <f t="shared" si="4"/>
        <v>35.327572609388035</v>
      </c>
      <c r="J26" s="240"/>
      <c r="K26" s="241"/>
      <c r="L26" s="240"/>
    </row>
    <row r="27" spans="1:12" ht="21" customHeight="1">
      <c r="A27" s="224">
        <f>A28+A29</f>
        <v>196700109</v>
      </c>
      <c r="B27" s="245">
        <f t="shared" si="0"/>
        <v>1.5728051918666255</v>
      </c>
      <c r="C27" s="246" t="s">
        <v>174</v>
      </c>
      <c r="D27" s="224">
        <f>D28+D29</f>
        <v>241138226</v>
      </c>
      <c r="E27" s="245">
        <f t="shared" si="1"/>
        <v>1.8369287352344614</v>
      </c>
      <c r="F27" s="224">
        <f>F28+F29</f>
        <v>178524000</v>
      </c>
      <c r="G27" s="245">
        <f t="shared" si="2"/>
        <v>1.3560518840016733</v>
      </c>
      <c r="H27" s="224">
        <f t="shared" si="3"/>
        <v>62614226</v>
      </c>
      <c r="I27" s="247">
        <f t="shared" si="4"/>
        <v>35.0732820237055</v>
      </c>
      <c r="J27" s="240"/>
      <c r="K27" s="241"/>
      <c r="L27" s="240"/>
    </row>
    <row r="28" spans="1:12" ht="21" customHeight="1">
      <c r="A28" s="242">
        <v>17284437</v>
      </c>
      <c r="B28" s="243">
        <f t="shared" si="0"/>
        <v>0.13820557797500557</v>
      </c>
      <c r="C28" s="227" t="s">
        <v>61</v>
      </c>
      <c r="D28" s="218">
        <f>'損益機關'!B28</f>
        <v>51254178</v>
      </c>
      <c r="E28" s="243">
        <f t="shared" si="1"/>
        <v>0.39044109235929253</v>
      </c>
      <c r="F28" s="218">
        <v>16604000</v>
      </c>
      <c r="G28" s="243">
        <f t="shared" si="2"/>
        <v>0.1261224568235295</v>
      </c>
      <c r="H28" s="218">
        <f t="shared" si="3"/>
        <v>34650178</v>
      </c>
      <c r="I28" s="244">
        <f t="shared" si="4"/>
        <v>208.6857263310046</v>
      </c>
      <c r="J28" s="240"/>
      <c r="K28" s="241"/>
      <c r="L28" s="240"/>
    </row>
    <row r="29" spans="1:12" ht="21" customHeight="1">
      <c r="A29" s="242">
        <v>179415672</v>
      </c>
      <c r="B29" s="243">
        <f t="shared" si="0"/>
        <v>1.4345996138916197</v>
      </c>
      <c r="C29" s="227" t="s">
        <v>62</v>
      </c>
      <c r="D29" s="218">
        <f>'損益機關'!B29</f>
        <v>189884048</v>
      </c>
      <c r="E29" s="243">
        <f t="shared" si="1"/>
        <v>1.446487642875169</v>
      </c>
      <c r="F29" s="218">
        <v>161920000</v>
      </c>
      <c r="G29" s="243">
        <f t="shared" si="2"/>
        <v>1.2299294271781436</v>
      </c>
      <c r="H29" s="218">
        <f t="shared" si="3"/>
        <v>27964048</v>
      </c>
      <c r="I29" s="244">
        <f t="shared" si="4"/>
        <v>17.27028656126482</v>
      </c>
      <c r="J29" s="240"/>
      <c r="K29" s="241"/>
      <c r="L29" s="240"/>
    </row>
    <row r="30" spans="1:12" ht="21" customHeight="1">
      <c r="A30" s="224">
        <f>A31+A32</f>
        <v>120975093</v>
      </c>
      <c r="B30" s="245">
        <f t="shared" si="0"/>
        <v>0.9673113824097974</v>
      </c>
      <c r="C30" s="246" t="s">
        <v>63</v>
      </c>
      <c r="D30" s="224">
        <f>SUM(D31:D32)</f>
        <v>139541322</v>
      </c>
      <c r="E30" s="245">
        <f t="shared" si="1"/>
        <v>1.062989756482677</v>
      </c>
      <c r="F30" s="224">
        <f>F31+F32</f>
        <v>96987000</v>
      </c>
      <c r="G30" s="245">
        <f t="shared" si="2"/>
        <v>0.7367043314829955</v>
      </c>
      <c r="H30" s="224">
        <f t="shared" si="3"/>
        <v>42554322</v>
      </c>
      <c r="I30" s="247">
        <f t="shared" si="4"/>
        <v>43.87631538247394</v>
      </c>
      <c r="J30" s="240"/>
      <c r="K30" s="241"/>
      <c r="L30" s="240"/>
    </row>
    <row r="31" spans="1:12" ht="21" customHeight="1">
      <c r="A31" s="242">
        <v>42189490</v>
      </c>
      <c r="B31" s="243">
        <f t="shared" si="0"/>
        <v>0.3373452574660499</v>
      </c>
      <c r="C31" s="227" t="s">
        <v>211</v>
      </c>
      <c r="D31" s="218">
        <f>'損益機關'!B31</f>
        <v>47053016</v>
      </c>
      <c r="E31" s="245">
        <f t="shared" si="1"/>
        <v>0.3584377251321691</v>
      </c>
      <c r="F31" s="218">
        <v>1500000</v>
      </c>
      <c r="G31" s="243">
        <f t="shared" si="2"/>
        <v>0.011393862035370649</v>
      </c>
      <c r="H31" s="218">
        <f t="shared" si="3"/>
        <v>45553016</v>
      </c>
      <c r="I31" s="244">
        <f t="shared" si="4"/>
        <v>3036.8677333333335</v>
      </c>
      <c r="J31" s="240"/>
      <c r="K31" s="241"/>
      <c r="L31" s="240"/>
    </row>
    <row r="32" spans="1:12" ht="21" customHeight="1">
      <c r="A32" s="242">
        <v>78785603</v>
      </c>
      <c r="B32" s="243">
        <f t="shared" si="0"/>
        <v>0.6299661249437476</v>
      </c>
      <c r="C32" s="227" t="s">
        <v>64</v>
      </c>
      <c r="D32" s="218">
        <f>'損益機關'!B32</f>
        <v>92488306</v>
      </c>
      <c r="E32" s="245">
        <f t="shared" si="1"/>
        <v>0.7045520313505078</v>
      </c>
      <c r="F32" s="218">
        <v>95487000</v>
      </c>
      <c r="G32" s="243">
        <f t="shared" si="2"/>
        <v>0.7253104694476248</v>
      </c>
      <c r="H32" s="218">
        <f t="shared" si="3"/>
        <v>-2998694</v>
      </c>
      <c r="I32" s="244">
        <f t="shared" si="4"/>
        <v>-3.1404212091698342</v>
      </c>
      <c r="J32" s="240"/>
      <c r="K32" s="241"/>
      <c r="L32" s="240"/>
    </row>
    <row r="33" spans="1:12" ht="21" customHeight="1">
      <c r="A33" s="224">
        <f>A27-A30</f>
        <v>75725016</v>
      </c>
      <c r="B33" s="245">
        <f t="shared" si="0"/>
        <v>0.6054938094568278</v>
      </c>
      <c r="C33" s="251" t="s">
        <v>6</v>
      </c>
      <c r="D33" s="224">
        <f>D27-D30</f>
        <v>101596904</v>
      </c>
      <c r="E33" s="245">
        <f t="shared" si="1"/>
        <v>0.7739389787517844</v>
      </c>
      <c r="F33" s="224">
        <f>F27-F30</f>
        <v>81537000</v>
      </c>
      <c r="G33" s="245">
        <f t="shared" si="2"/>
        <v>0.6193475525186777</v>
      </c>
      <c r="H33" s="224">
        <f t="shared" si="3"/>
        <v>20059904</v>
      </c>
      <c r="I33" s="247">
        <f t="shared" si="4"/>
        <v>24.60221003961392</v>
      </c>
      <c r="J33" s="240"/>
      <c r="K33" s="252"/>
      <c r="L33" s="252"/>
    </row>
    <row r="34" spans="1:12" ht="21" customHeight="1">
      <c r="A34" s="224">
        <f>A26+A33</f>
        <v>883866966</v>
      </c>
      <c r="B34" s="245">
        <f t="shared" si="0"/>
        <v>7.06736035944038</v>
      </c>
      <c r="C34" s="253" t="s">
        <v>65</v>
      </c>
      <c r="D34" s="224">
        <f>D26+D33</f>
        <v>744040196</v>
      </c>
      <c r="E34" s="245">
        <f t="shared" si="1"/>
        <v>5.66790607558787</v>
      </c>
      <c r="F34" s="224">
        <f>F26+F33</f>
        <v>556269000</v>
      </c>
      <c r="G34" s="245">
        <f t="shared" si="2"/>
        <v>4.225368160369064</v>
      </c>
      <c r="H34" s="224">
        <f t="shared" si="3"/>
        <v>187771196</v>
      </c>
      <c r="I34" s="247">
        <f t="shared" si="4"/>
        <v>33.755466509907976</v>
      </c>
      <c r="J34" s="240"/>
      <c r="K34" s="252"/>
      <c r="L34" s="252"/>
    </row>
    <row r="35" spans="1:12" ht="21" customHeight="1">
      <c r="A35" s="242">
        <v>162912072</v>
      </c>
      <c r="B35" s="243">
        <f t="shared" si="0"/>
        <v>1.302637573319034</v>
      </c>
      <c r="C35" s="227" t="s">
        <v>335</v>
      </c>
      <c r="D35" s="218">
        <f>'損益機關'!B35</f>
        <v>144585532</v>
      </c>
      <c r="E35" s="243">
        <f t="shared" si="1"/>
        <v>1.1014152456689374</v>
      </c>
      <c r="F35" s="218">
        <v>140946000</v>
      </c>
      <c r="G35" s="243">
        <f t="shared" si="2"/>
        <v>1.0706128522915677</v>
      </c>
      <c r="H35" s="218">
        <f t="shared" si="3"/>
        <v>3639532</v>
      </c>
      <c r="I35" s="244">
        <f t="shared" si="4"/>
        <v>2.5822173030806126</v>
      </c>
      <c r="J35" s="240"/>
      <c r="K35" s="254"/>
      <c r="L35" s="240"/>
    </row>
    <row r="36" spans="1:12" ht="21" customHeight="1">
      <c r="A36" s="255">
        <f>A34-A35</f>
        <v>720954894</v>
      </c>
      <c r="B36" s="256">
        <f t="shared" si="0"/>
        <v>5.764722786121347</v>
      </c>
      <c r="C36" s="257" t="s">
        <v>66</v>
      </c>
      <c r="D36" s="255">
        <f>D34-D35</f>
        <v>599454664</v>
      </c>
      <c r="E36" s="256">
        <f t="shared" si="1"/>
        <v>4.566490829918933</v>
      </c>
      <c r="F36" s="255">
        <f>F34-F35</f>
        <v>415323000</v>
      </c>
      <c r="G36" s="258">
        <f>F36/F7*100</f>
        <v>3.154755308077496</v>
      </c>
      <c r="H36" s="255">
        <f t="shared" si="3"/>
        <v>184131664</v>
      </c>
      <c r="I36" s="259">
        <f t="shared" si="4"/>
        <v>44.334569479658</v>
      </c>
      <c r="J36" s="240"/>
      <c r="K36" s="252"/>
      <c r="L36" s="252"/>
    </row>
  </sheetData>
  <sheetProtection/>
  <mergeCells count="12">
    <mergeCell ref="C2:F2"/>
    <mergeCell ref="C3:F3"/>
    <mergeCell ref="A1:I1"/>
    <mergeCell ref="G2:I2"/>
    <mergeCell ref="A4:B4"/>
    <mergeCell ref="C4:C6"/>
    <mergeCell ref="D4:I4"/>
    <mergeCell ref="A5:A6"/>
    <mergeCell ref="B5:B6"/>
    <mergeCell ref="D5:E5"/>
    <mergeCell ref="F5:G5"/>
    <mergeCell ref="H5:I5"/>
  </mergeCells>
  <printOptions horizontalCentered="1" verticalCentered="1"/>
  <pageMargins left="0.7874015748031497" right="0.7874015748031497" top="0.5905511811023623" bottom="0.5905511811023623" header="0" footer="0.31496062992125984"/>
  <pageSetup firstPageNumber="21" useFirstPageNumber="1" horizontalDpi="600" verticalDpi="600" orientation="portrait" paperSize="9" r:id="rId1"/>
  <headerFooter alignWithMargins="0">
    <oddFooter xml:space="preserve">&amp;C &amp;P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1" sqref="G11"/>
    </sheetView>
  </sheetViews>
  <sheetFormatPr defaultColWidth="9.00390625" defaultRowHeight="16.5"/>
  <cols>
    <col min="1" max="1" width="11.125" style="53" customWidth="1"/>
    <col min="2" max="2" width="5.625" style="53" customWidth="1"/>
    <col min="3" max="3" width="13.875" style="53" customWidth="1"/>
    <col min="4" max="4" width="12.625" style="53" customWidth="1"/>
    <col min="5" max="5" width="5.625" style="53" customWidth="1"/>
    <col min="6" max="6" width="12.625" style="53" customWidth="1"/>
    <col min="7" max="7" width="5.625" style="53" customWidth="1"/>
    <col min="8" max="8" width="11.375" style="53" customWidth="1"/>
    <col min="9" max="9" width="9.125" style="53" customWidth="1"/>
    <col min="10" max="10" width="15.50390625" style="53" customWidth="1"/>
    <col min="11" max="11" width="13.50390625" style="53" bestFit="1" customWidth="1"/>
    <col min="12" max="12" width="15.00390625" style="53" bestFit="1" customWidth="1"/>
    <col min="13" max="13" width="11.50390625" style="53" customWidth="1"/>
    <col min="14" max="16384" width="9.00390625" style="53" customWidth="1"/>
  </cols>
  <sheetData>
    <row r="1" spans="1:9" ht="26.25" customHeight="1">
      <c r="A1" s="696" t="s">
        <v>86</v>
      </c>
      <c r="B1" s="696"/>
      <c r="C1" s="696"/>
      <c r="D1" s="696"/>
      <c r="E1" s="696"/>
      <c r="F1" s="696"/>
      <c r="G1" s="696"/>
      <c r="H1" s="696"/>
      <c r="I1" s="696"/>
    </row>
    <row r="2" spans="3:8" ht="26.25" customHeight="1">
      <c r="C2" s="699" t="s">
        <v>445</v>
      </c>
      <c r="D2" s="699"/>
      <c r="E2" s="699"/>
      <c r="F2" s="699"/>
      <c r="H2" s="53" t="s">
        <v>475</v>
      </c>
    </row>
    <row r="3" spans="2:8" ht="26.25" customHeight="1">
      <c r="B3" s="441"/>
      <c r="C3" s="663" t="s">
        <v>569</v>
      </c>
      <c r="D3" s="663"/>
      <c r="E3" s="663"/>
      <c r="F3" s="663"/>
      <c r="G3" s="441"/>
      <c r="H3" s="53" t="s">
        <v>99</v>
      </c>
    </row>
    <row r="4" spans="1:9" ht="20.25" customHeight="1">
      <c r="A4" s="695" t="s">
        <v>93</v>
      </c>
      <c r="B4" s="695"/>
      <c r="C4" s="697" t="s">
        <v>476</v>
      </c>
      <c r="D4" s="695" t="s">
        <v>94</v>
      </c>
      <c r="E4" s="695"/>
      <c r="F4" s="695"/>
      <c r="G4" s="695"/>
      <c r="H4" s="695"/>
      <c r="I4" s="695"/>
    </row>
    <row r="5" spans="1:14" ht="21.75" customHeight="1">
      <c r="A5" s="697" t="s">
        <v>379</v>
      </c>
      <c r="B5" s="695" t="s">
        <v>380</v>
      </c>
      <c r="C5" s="700"/>
      <c r="D5" s="695" t="s">
        <v>96</v>
      </c>
      <c r="E5" s="695"/>
      <c r="F5" s="695" t="s">
        <v>74</v>
      </c>
      <c r="G5" s="695"/>
      <c r="H5" s="695" t="s">
        <v>97</v>
      </c>
      <c r="I5" s="695"/>
      <c r="J5" s="443" t="s">
        <v>589</v>
      </c>
      <c r="K5" s="442" t="s">
        <v>587</v>
      </c>
      <c r="L5" s="443" t="s">
        <v>588</v>
      </c>
      <c r="M5" s="442" t="s">
        <v>585</v>
      </c>
      <c r="N5" s="443" t="s">
        <v>586</v>
      </c>
    </row>
    <row r="6" spans="1:9" ht="42.75">
      <c r="A6" s="698"/>
      <c r="B6" s="695"/>
      <c r="C6" s="701"/>
      <c r="D6" s="444" t="s">
        <v>381</v>
      </c>
      <c r="E6" s="444" t="s">
        <v>380</v>
      </c>
      <c r="F6" s="444" t="s">
        <v>381</v>
      </c>
      <c r="G6" s="444" t="s">
        <v>380</v>
      </c>
      <c r="H6" s="445" t="s">
        <v>378</v>
      </c>
      <c r="I6" s="445" t="s">
        <v>98</v>
      </c>
    </row>
    <row r="7" spans="1:12" ht="49.5" customHeight="1">
      <c r="A7" s="446">
        <v>745451174</v>
      </c>
      <c r="B7" s="449">
        <f aca="true" t="shared" si="0" ref="B7:B12">A7/J7*100</f>
        <v>6.417917706753329</v>
      </c>
      <c r="C7" s="448" t="s">
        <v>186</v>
      </c>
      <c r="D7" s="446">
        <f>'損益機關'!D36</f>
        <v>751469483</v>
      </c>
      <c r="E7" s="449">
        <f aca="true" t="shared" si="1" ref="E7:E12">D7/K7*100</f>
        <v>6.146447054795773</v>
      </c>
      <c r="F7" s="446">
        <v>658974000</v>
      </c>
      <c r="G7" s="449">
        <f aca="true" t="shared" si="2" ref="G7:G12">F7/L7*100</f>
        <v>5.3962498105301115</v>
      </c>
      <c r="H7" s="446">
        <f aca="true" t="shared" si="3" ref="H7:H12">D7-F7</f>
        <v>92495483</v>
      </c>
      <c r="I7" s="449">
        <f aca="true" t="shared" si="4" ref="I7:I12">H7/F7*100</f>
        <v>14.03628716762725</v>
      </c>
      <c r="J7" s="450">
        <f>'營業利益'!J7</f>
        <v>11615156318</v>
      </c>
      <c r="K7" s="450">
        <f>'營業利益'!K7</f>
        <v>12226079169</v>
      </c>
      <c r="L7" s="450">
        <f>'營業利益'!L7</f>
        <v>12211703000</v>
      </c>
    </row>
    <row r="8" spans="1:12" ht="49.5" customHeight="1">
      <c r="A8" s="451">
        <v>-9618743</v>
      </c>
      <c r="B8" s="452">
        <f t="shared" si="0"/>
        <v>-5.80436111966927</v>
      </c>
      <c r="C8" s="458" t="s">
        <v>187</v>
      </c>
      <c r="D8" s="454">
        <f>'損益機關'!F36</f>
        <v>-57154788</v>
      </c>
      <c r="E8" s="452">
        <f t="shared" si="1"/>
        <v>-37.7902524312271</v>
      </c>
      <c r="F8" s="451">
        <v>278000</v>
      </c>
      <c r="G8" s="447">
        <f t="shared" si="2"/>
        <v>0.1156839082851317</v>
      </c>
      <c r="H8" s="451">
        <f t="shared" si="3"/>
        <v>-57432788</v>
      </c>
      <c r="I8" s="447">
        <f t="shared" si="4"/>
        <v>-20659.276258992806</v>
      </c>
      <c r="J8" s="450">
        <f>'營業利益'!J8</f>
        <v>165715792</v>
      </c>
      <c r="K8" s="450">
        <f>'營業利益'!K8</f>
        <v>151242144</v>
      </c>
      <c r="L8" s="450">
        <f>'營業利益'!L8</f>
        <v>240310000</v>
      </c>
    </row>
    <row r="9" spans="1:12" ht="49.5" customHeight="1">
      <c r="A9" s="454">
        <v>-2831536</v>
      </c>
      <c r="B9" s="452">
        <f t="shared" si="0"/>
        <v>-2.7855941429031077</v>
      </c>
      <c r="C9" s="448" t="s">
        <v>189</v>
      </c>
      <c r="D9" s="454">
        <f>'損益機關'!H36</f>
        <v>-4441766</v>
      </c>
      <c r="E9" s="452">
        <f t="shared" si="1"/>
        <v>-2.789072676470022</v>
      </c>
      <c r="F9" s="451">
        <v>-13563000</v>
      </c>
      <c r="G9" s="447">
        <f t="shared" si="2"/>
        <v>-8.365715554568668</v>
      </c>
      <c r="H9" s="451">
        <f t="shared" si="3"/>
        <v>9121234</v>
      </c>
      <c r="I9" s="447">
        <f t="shared" si="4"/>
        <v>-67.25085895450859</v>
      </c>
      <c r="J9" s="450">
        <f>'營業利益'!J9</f>
        <v>101649266</v>
      </c>
      <c r="K9" s="450">
        <f>'營業利益'!K9</f>
        <v>159256015</v>
      </c>
      <c r="L9" s="450">
        <f>'營業利益'!L9</f>
        <v>162126000</v>
      </c>
    </row>
    <row r="10" spans="1:12" ht="49.5" customHeight="1">
      <c r="A10" s="451">
        <v>-27740749</v>
      </c>
      <c r="B10" s="452">
        <f t="shared" si="0"/>
        <v>-19.527255652488094</v>
      </c>
      <c r="C10" s="458" t="s">
        <v>200</v>
      </c>
      <c r="D10" s="454">
        <f>'損益機關'!J36</f>
        <v>-36003816</v>
      </c>
      <c r="E10" s="452">
        <f t="shared" si="1"/>
        <v>-25.460164380130117</v>
      </c>
      <c r="F10" s="451">
        <v>-71186000</v>
      </c>
      <c r="G10" s="452">
        <f t="shared" si="2"/>
        <v>-50.219400352733686</v>
      </c>
      <c r="H10" s="451">
        <f t="shared" si="3"/>
        <v>35182184</v>
      </c>
      <c r="I10" s="447">
        <f t="shared" si="4"/>
        <v>-49.422897760795664</v>
      </c>
      <c r="J10" s="450">
        <f>'營業利益'!J10</f>
        <v>142061688</v>
      </c>
      <c r="K10" s="450">
        <f>'營業利益'!K10</f>
        <v>141412347</v>
      </c>
      <c r="L10" s="450">
        <f>'營業利益'!L10</f>
        <v>141750000</v>
      </c>
    </row>
    <row r="11" spans="1:12" ht="49.5" customHeight="1">
      <c r="A11" s="451">
        <v>4611351</v>
      </c>
      <c r="B11" s="452">
        <f t="shared" si="0"/>
        <v>4.850158700448254</v>
      </c>
      <c r="C11" s="458" t="s">
        <v>199</v>
      </c>
      <c r="D11" s="454">
        <f>'損益機關'!L36</f>
        <v>83210</v>
      </c>
      <c r="E11" s="452">
        <f t="shared" si="1"/>
        <v>0.08680268591565865</v>
      </c>
      <c r="F11" s="451">
        <v>-1739000</v>
      </c>
      <c r="G11" s="452">
        <f t="shared" si="2"/>
        <v>-1.781689275029712</v>
      </c>
      <c r="H11" s="451">
        <f t="shared" si="3"/>
        <v>1822210</v>
      </c>
      <c r="I11" s="468">
        <f t="shared" si="4"/>
        <v>-104.78493387004025</v>
      </c>
      <c r="J11" s="450">
        <f>'營業利益'!J11</f>
        <v>95076291</v>
      </c>
      <c r="K11" s="450">
        <f>'營業利益'!K11</f>
        <v>95861089</v>
      </c>
      <c r="L11" s="450">
        <f>'營業利益'!L11</f>
        <v>97604000</v>
      </c>
    </row>
    <row r="12" spans="1:12" ht="49.5" customHeight="1">
      <c r="A12" s="451">
        <v>11083397</v>
      </c>
      <c r="B12" s="452">
        <f t="shared" si="0"/>
        <v>2.866412734647067</v>
      </c>
      <c r="C12" s="458" t="s">
        <v>193</v>
      </c>
      <c r="D12" s="454">
        <f>'損益機關'!N36</f>
        <v>-54497659</v>
      </c>
      <c r="E12" s="452">
        <f t="shared" si="1"/>
        <v>-15.420992794663121</v>
      </c>
      <c r="F12" s="451">
        <v>-157441000</v>
      </c>
      <c r="G12" s="452">
        <f t="shared" si="2"/>
        <v>-50.54447975857973</v>
      </c>
      <c r="H12" s="451">
        <f t="shared" si="3"/>
        <v>102943341</v>
      </c>
      <c r="I12" s="468">
        <f t="shared" si="4"/>
        <v>-65.38534498637586</v>
      </c>
      <c r="J12" s="450">
        <f>'營業利益'!J12</f>
        <v>386664379</v>
      </c>
      <c r="K12" s="450">
        <f>'營業利益'!K12</f>
        <v>353399160</v>
      </c>
      <c r="L12" s="450">
        <f>'營業利益'!L12</f>
        <v>311490000</v>
      </c>
    </row>
    <row r="13" spans="1:12" ht="16.5">
      <c r="A13" s="469"/>
      <c r="B13" s="470"/>
      <c r="C13" s="458"/>
      <c r="D13" s="111"/>
      <c r="E13" s="148"/>
      <c r="F13" s="111"/>
      <c r="G13" s="148"/>
      <c r="H13" s="459"/>
      <c r="I13" s="460"/>
      <c r="J13" s="450">
        <f>'營業利益'!J13</f>
        <v>12506323734</v>
      </c>
      <c r="K13" s="450">
        <f>'營業利益'!K13</f>
        <v>13127249924</v>
      </c>
      <c r="L13" s="450">
        <f>'營業利益'!L13</f>
        <v>13164983000</v>
      </c>
    </row>
    <row r="14" spans="1:9" ht="16.5">
      <c r="A14" s="471"/>
      <c r="B14" s="472"/>
      <c r="C14" s="458"/>
      <c r="D14" s="106"/>
      <c r="E14" s="148"/>
      <c r="F14" s="106"/>
      <c r="G14" s="148"/>
      <c r="H14" s="459"/>
      <c r="I14" s="460"/>
    </row>
    <row r="15" spans="1:9" ht="16.5">
      <c r="A15" s="471"/>
      <c r="B15" s="472"/>
      <c r="C15" s="458"/>
      <c r="D15" s="106"/>
      <c r="E15" s="148"/>
      <c r="F15" s="106"/>
      <c r="G15" s="148"/>
      <c r="H15" s="459"/>
      <c r="I15" s="460"/>
    </row>
    <row r="16" spans="1:9" ht="16.5">
      <c r="A16" s="471"/>
      <c r="B16" s="472"/>
      <c r="C16" s="458"/>
      <c r="D16" s="106"/>
      <c r="E16" s="148"/>
      <c r="F16" s="106"/>
      <c r="G16" s="148"/>
      <c r="H16" s="459"/>
      <c r="I16" s="460"/>
    </row>
    <row r="17" spans="1:9" ht="16.5">
      <c r="A17" s="471"/>
      <c r="B17" s="472"/>
      <c r="C17" s="458"/>
      <c r="D17" s="106"/>
      <c r="E17" s="148"/>
      <c r="F17" s="106"/>
      <c r="G17" s="148"/>
      <c r="H17" s="459"/>
      <c r="I17" s="460"/>
    </row>
    <row r="18" spans="1:9" ht="16.5">
      <c r="A18" s="471"/>
      <c r="B18" s="472"/>
      <c r="C18" s="458"/>
      <c r="D18" s="106"/>
      <c r="E18" s="148"/>
      <c r="F18" s="106"/>
      <c r="G18" s="148"/>
      <c r="H18" s="459"/>
      <c r="I18" s="460"/>
    </row>
    <row r="19" spans="1:9" ht="16.5">
      <c r="A19" s="471"/>
      <c r="B19" s="472"/>
      <c r="C19" s="458"/>
      <c r="D19" s="106"/>
      <c r="E19" s="148"/>
      <c r="F19" s="106"/>
      <c r="G19" s="148"/>
      <c r="H19" s="459"/>
      <c r="I19" s="460"/>
    </row>
    <row r="20" spans="1:9" ht="16.5">
      <c r="A20" s="471"/>
      <c r="B20" s="472"/>
      <c r="C20" s="458"/>
      <c r="D20" s="106"/>
      <c r="E20" s="148"/>
      <c r="F20" s="106"/>
      <c r="G20" s="148"/>
      <c r="H20" s="459"/>
      <c r="I20" s="460"/>
    </row>
    <row r="21" spans="1:9" ht="16.5">
      <c r="A21" s="471"/>
      <c r="B21" s="472"/>
      <c r="C21" s="458"/>
      <c r="D21" s="106"/>
      <c r="E21" s="148"/>
      <c r="F21" s="106"/>
      <c r="G21" s="148"/>
      <c r="H21" s="459"/>
      <c r="I21" s="460"/>
    </row>
    <row r="22" spans="1:9" ht="16.5">
      <c r="A22" s="471"/>
      <c r="B22" s="472"/>
      <c r="C22" s="458"/>
      <c r="D22" s="106"/>
      <c r="E22" s="148"/>
      <c r="F22" s="106"/>
      <c r="G22" s="148"/>
      <c r="H22" s="459"/>
      <c r="I22" s="460"/>
    </row>
    <row r="23" spans="1:9" ht="16.5">
      <c r="A23" s="471"/>
      <c r="B23" s="472"/>
      <c r="C23" s="458"/>
      <c r="D23" s="106"/>
      <c r="E23" s="148"/>
      <c r="F23" s="106"/>
      <c r="G23" s="148"/>
      <c r="H23" s="459"/>
      <c r="I23" s="460"/>
    </row>
    <row r="24" spans="1:9" ht="16.5">
      <c r="A24" s="471"/>
      <c r="B24" s="472"/>
      <c r="C24" s="458"/>
      <c r="D24" s="106"/>
      <c r="E24" s="148"/>
      <c r="F24" s="106"/>
      <c r="G24" s="148"/>
      <c r="H24" s="459"/>
      <c r="I24" s="460"/>
    </row>
    <row r="25" spans="1:9" ht="16.5">
      <c r="A25" s="471"/>
      <c r="B25" s="472"/>
      <c r="C25" s="458"/>
      <c r="D25" s="106"/>
      <c r="E25" s="148"/>
      <c r="F25" s="106"/>
      <c r="G25" s="148"/>
      <c r="H25" s="459"/>
      <c r="I25" s="460"/>
    </row>
    <row r="26" spans="1:9" ht="16.5">
      <c r="A26" s="471"/>
      <c r="B26" s="472"/>
      <c r="C26" s="458"/>
      <c r="D26" s="106"/>
      <c r="E26" s="148"/>
      <c r="F26" s="106"/>
      <c r="G26" s="148"/>
      <c r="H26" s="459"/>
      <c r="I26" s="460"/>
    </row>
    <row r="27" spans="1:9" ht="16.5">
      <c r="A27" s="471"/>
      <c r="B27" s="472"/>
      <c r="C27" s="458"/>
      <c r="D27" s="106"/>
      <c r="E27" s="148"/>
      <c r="F27" s="106"/>
      <c r="G27" s="148"/>
      <c r="H27" s="459"/>
      <c r="I27" s="460"/>
    </row>
    <row r="28" spans="1:9" ht="16.5">
      <c r="A28" s="471"/>
      <c r="B28" s="472"/>
      <c r="C28" s="458"/>
      <c r="D28" s="106"/>
      <c r="E28" s="148"/>
      <c r="F28" s="106"/>
      <c r="G28" s="148"/>
      <c r="H28" s="459"/>
      <c r="I28" s="460"/>
    </row>
    <row r="29" spans="1:9" ht="24.75" customHeight="1">
      <c r="A29" s="471"/>
      <c r="B29" s="472"/>
      <c r="C29" s="458"/>
      <c r="D29" s="106"/>
      <c r="E29" s="148"/>
      <c r="F29" s="106"/>
      <c r="G29" s="148"/>
      <c r="H29" s="459"/>
      <c r="I29" s="460"/>
    </row>
    <row r="30" spans="1:9" ht="16.5">
      <c r="A30" s="473">
        <f>SUM(A7:A29)</f>
        <v>720954894</v>
      </c>
      <c r="B30" s="474">
        <f>A30/J13*100</f>
        <v>5.764722786121347</v>
      </c>
      <c r="C30" s="475" t="s">
        <v>75</v>
      </c>
      <c r="D30" s="476">
        <f>SUM(D7:D29)</f>
        <v>599454664</v>
      </c>
      <c r="E30" s="477">
        <f>D30/K13*100</f>
        <v>4.566490829918933</v>
      </c>
      <c r="F30" s="476">
        <f>SUM(F7:F29)</f>
        <v>415323000</v>
      </c>
      <c r="G30" s="477">
        <f>F30/L13*100</f>
        <v>3.154755308077496</v>
      </c>
      <c r="H30" s="476">
        <f>SUM(H7:H29)</f>
        <v>184131664</v>
      </c>
      <c r="I30" s="478">
        <f>H30/F30*100</f>
        <v>44.334569479658</v>
      </c>
    </row>
  </sheetData>
  <sheetProtection/>
  <mergeCells count="11">
    <mergeCell ref="C4:C6"/>
    <mergeCell ref="D4:I4"/>
    <mergeCell ref="B5:B6"/>
    <mergeCell ref="D5:E5"/>
    <mergeCell ref="F5:G5"/>
    <mergeCell ref="H5:I5"/>
    <mergeCell ref="A1:I1"/>
    <mergeCell ref="A5:A6"/>
    <mergeCell ref="C2:F2"/>
    <mergeCell ref="C3:F3"/>
    <mergeCell ref="A4:B4"/>
  </mergeCells>
  <printOptions horizontalCentered="1" verticalCentered="1"/>
  <pageMargins left="0.5905511811023623" right="0.5905511811023623" top="0.5905511811023623" bottom="0.5905511811023623" header="0" footer="0.31496062992125984"/>
  <pageSetup firstPageNumber="61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selection activeCell="M12" sqref="M12"/>
    </sheetView>
  </sheetViews>
  <sheetFormatPr defaultColWidth="9.00390625" defaultRowHeight="16.5"/>
  <cols>
    <col min="1" max="12" width="6.875" style="53" customWidth="1"/>
    <col min="13" max="13" width="14.875" style="53" customWidth="1"/>
    <col min="14" max="14" width="4.375" style="53" customWidth="1"/>
    <col min="15" max="15" width="4.625" style="53" customWidth="1"/>
    <col min="16" max="16" width="6.50390625" style="53" customWidth="1"/>
    <col min="17" max="17" width="5.75390625" style="53" customWidth="1"/>
    <col min="18" max="28" width="4.375" style="53" customWidth="1"/>
    <col min="29" max="29" width="4.625" style="53" customWidth="1"/>
    <col min="30" max="30" width="14.75390625" style="53" customWidth="1"/>
    <col min="31" max="32" width="5.75390625" style="53" customWidth="1"/>
    <col min="33" max="33" width="7.875" style="53" customWidth="1"/>
    <col min="34" max="36" width="5.75390625" style="53" customWidth="1"/>
    <col min="37" max="37" width="7.125" style="53" customWidth="1"/>
    <col min="38" max="42" width="5.75390625" style="53" customWidth="1"/>
    <col min="43" max="52" width="5.125" style="53" customWidth="1"/>
    <col min="53" max="53" width="7.25390625" style="53" customWidth="1"/>
    <col min="54" max="58" width="5.125" style="53" customWidth="1"/>
    <col min="59" max="16384" width="9.00390625" style="53" customWidth="1"/>
  </cols>
  <sheetData>
    <row r="1" spans="1:47" ht="26.25" customHeight="1">
      <c r="A1" s="398"/>
      <c r="J1" s="399"/>
      <c r="K1" s="404"/>
      <c r="L1" s="400" t="s">
        <v>449</v>
      </c>
      <c r="M1" s="404" t="s">
        <v>450</v>
      </c>
      <c r="N1" s="404"/>
      <c r="O1" s="404"/>
      <c r="AN1" s="703" t="s">
        <v>446</v>
      </c>
      <c r="AO1" s="704"/>
      <c r="AP1" s="704"/>
      <c r="AQ1" s="705" t="s">
        <v>442</v>
      </c>
      <c r="AR1" s="706"/>
      <c r="AS1" s="706"/>
      <c r="AT1" s="706"/>
      <c r="AU1" s="706"/>
    </row>
    <row r="2" spans="1:46" ht="26.25" customHeight="1">
      <c r="A2" s="402"/>
      <c r="K2" s="404"/>
      <c r="L2" s="479" t="s">
        <v>447</v>
      </c>
      <c r="M2" s="480" t="s">
        <v>448</v>
      </c>
      <c r="AN2" s="707" t="s">
        <v>447</v>
      </c>
      <c r="AO2" s="706"/>
      <c r="AP2" s="706"/>
      <c r="AQ2" s="708" t="s">
        <v>448</v>
      </c>
      <c r="AR2" s="706"/>
      <c r="AS2" s="706"/>
      <c r="AT2" s="706"/>
    </row>
    <row r="3" spans="1:57" ht="26.25" customHeight="1">
      <c r="A3" s="481" t="s">
        <v>76</v>
      </c>
      <c r="B3" s="481" t="s">
        <v>410</v>
      </c>
      <c r="K3" s="407"/>
      <c r="L3" s="406" t="s">
        <v>457</v>
      </c>
      <c r="M3" s="407" t="s">
        <v>576</v>
      </c>
      <c r="AB3" s="53" t="s">
        <v>113</v>
      </c>
      <c r="AN3" s="709" t="s">
        <v>457</v>
      </c>
      <c r="AO3" s="710"/>
      <c r="AP3" s="710"/>
      <c r="AQ3" s="711" t="s">
        <v>573</v>
      </c>
      <c r="AR3" s="710"/>
      <c r="AS3" s="710"/>
      <c r="AT3" s="710"/>
      <c r="BE3" s="53" t="s">
        <v>113</v>
      </c>
    </row>
    <row r="4" spans="1:58" ht="25.5" customHeight="1">
      <c r="A4" s="702" t="s">
        <v>100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13" t="s">
        <v>476</v>
      </c>
      <c r="N4" s="702" t="s">
        <v>101</v>
      </c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13" t="s">
        <v>476</v>
      </c>
      <c r="AE4" s="716" t="s">
        <v>101</v>
      </c>
      <c r="AF4" s="716"/>
      <c r="AG4" s="716"/>
      <c r="AH4" s="716"/>
      <c r="AI4" s="702" t="s">
        <v>111</v>
      </c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  <c r="AX4" s="702"/>
      <c r="AY4" s="702"/>
      <c r="AZ4" s="702"/>
      <c r="BA4" s="702"/>
      <c r="BB4" s="702"/>
      <c r="BC4" s="712" t="s">
        <v>112</v>
      </c>
      <c r="BD4" s="712"/>
      <c r="BE4" s="712"/>
      <c r="BF4" s="712"/>
    </row>
    <row r="5" spans="1:58" ht="21.75" customHeight="1">
      <c r="A5" s="717" t="s">
        <v>96</v>
      </c>
      <c r="B5" s="718"/>
      <c r="C5" s="718"/>
      <c r="D5" s="719"/>
      <c r="E5" s="702" t="s">
        <v>74</v>
      </c>
      <c r="F5" s="702"/>
      <c r="G5" s="702"/>
      <c r="H5" s="702"/>
      <c r="I5" s="702" t="s">
        <v>102</v>
      </c>
      <c r="J5" s="702"/>
      <c r="K5" s="702"/>
      <c r="L5" s="702"/>
      <c r="M5" s="714"/>
      <c r="N5" s="702" t="s">
        <v>103</v>
      </c>
      <c r="O5" s="702"/>
      <c r="P5" s="702"/>
      <c r="Q5" s="702"/>
      <c r="R5" s="702" t="s">
        <v>104</v>
      </c>
      <c r="S5" s="702"/>
      <c r="T5" s="702"/>
      <c r="U5" s="702"/>
      <c r="V5" s="702" t="s">
        <v>105</v>
      </c>
      <c r="W5" s="702"/>
      <c r="X5" s="702"/>
      <c r="Y5" s="702"/>
      <c r="Z5" s="702" t="s">
        <v>106</v>
      </c>
      <c r="AA5" s="702"/>
      <c r="AB5" s="702"/>
      <c r="AC5" s="702"/>
      <c r="AD5" s="714"/>
      <c r="AE5" s="702" t="s">
        <v>75</v>
      </c>
      <c r="AF5" s="702"/>
      <c r="AG5" s="702"/>
      <c r="AH5" s="702"/>
      <c r="AI5" s="702" t="s">
        <v>103</v>
      </c>
      <c r="AJ5" s="702"/>
      <c r="AK5" s="702"/>
      <c r="AL5" s="702"/>
      <c r="AM5" s="702" t="s">
        <v>104</v>
      </c>
      <c r="AN5" s="702"/>
      <c r="AO5" s="702"/>
      <c r="AP5" s="702"/>
      <c r="AQ5" s="702" t="s">
        <v>105</v>
      </c>
      <c r="AR5" s="702"/>
      <c r="AS5" s="702"/>
      <c r="AT5" s="702"/>
      <c r="AU5" s="702" t="s">
        <v>106</v>
      </c>
      <c r="AV5" s="702"/>
      <c r="AW5" s="702"/>
      <c r="AX5" s="702"/>
      <c r="AY5" s="702" t="s">
        <v>75</v>
      </c>
      <c r="AZ5" s="702"/>
      <c r="BA5" s="702"/>
      <c r="BB5" s="702"/>
      <c r="BC5" s="712"/>
      <c r="BD5" s="712"/>
      <c r="BE5" s="712"/>
      <c r="BF5" s="712"/>
    </row>
    <row r="6" spans="1:58" ht="21.75" customHeight="1">
      <c r="A6" s="702" t="s">
        <v>107</v>
      </c>
      <c r="B6" s="702"/>
      <c r="C6" s="702" t="s">
        <v>108</v>
      </c>
      <c r="D6" s="702"/>
      <c r="E6" s="702" t="s">
        <v>107</v>
      </c>
      <c r="F6" s="702"/>
      <c r="G6" s="702" t="s">
        <v>108</v>
      </c>
      <c r="H6" s="702"/>
      <c r="I6" s="702" t="s">
        <v>107</v>
      </c>
      <c r="J6" s="702"/>
      <c r="K6" s="702" t="s">
        <v>108</v>
      </c>
      <c r="L6" s="702"/>
      <c r="M6" s="714"/>
      <c r="N6" s="702" t="s">
        <v>107</v>
      </c>
      <c r="O6" s="702"/>
      <c r="P6" s="702" t="s">
        <v>108</v>
      </c>
      <c r="Q6" s="702"/>
      <c r="R6" s="702" t="s">
        <v>107</v>
      </c>
      <c r="S6" s="702"/>
      <c r="T6" s="702" t="s">
        <v>108</v>
      </c>
      <c r="U6" s="702"/>
      <c r="V6" s="702" t="s">
        <v>107</v>
      </c>
      <c r="W6" s="702"/>
      <c r="X6" s="702" t="s">
        <v>108</v>
      </c>
      <c r="Y6" s="702"/>
      <c r="Z6" s="702" t="s">
        <v>107</v>
      </c>
      <c r="AA6" s="702"/>
      <c r="AB6" s="702" t="s">
        <v>108</v>
      </c>
      <c r="AC6" s="702"/>
      <c r="AD6" s="714"/>
      <c r="AE6" s="702" t="s">
        <v>107</v>
      </c>
      <c r="AF6" s="702"/>
      <c r="AG6" s="702" t="s">
        <v>108</v>
      </c>
      <c r="AH6" s="702"/>
      <c r="AI6" s="702" t="s">
        <v>107</v>
      </c>
      <c r="AJ6" s="702"/>
      <c r="AK6" s="702" t="s">
        <v>108</v>
      </c>
      <c r="AL6" s="702"/>
      <c r="AM6" s="702" t="s">
        <v>107</v>
      </c>
      <c r="AN6" s="702"/>
      <c r="AO6" s="702" t="s">
        <v>108</v>
      </c>
      <c r="AP6" s="702"/>
      <c r="AQ6" s="702" t="s">
        <v>107</v>
      </c>
      <c r="AR6" s="702"/>
      <c r="AS6" s="702" t="s">
        <v>108</v>
      </c>
      <c r="AT6" s="702"/>
      <c r="AU6" s="702" t="s">
        <v>107</v>
      </c>
      <c r="AV6" s="702"/>
      <c r="AW6" s="702" t="s">
        <v>108</v>
      </c>
      <c r="AX6" s="702"/>
      <c r="AY6" s="702" t="s">
        <v>107</v>
      </c>
      <c r="AZ6" s="702"/>
      <c r="BA6" s="702" t="s">
        <v>108</v>
      </c>
      <c r="BB6" s="702"/>
      <c r="BC6" s="702" t="s">
        <v>107</v>
      </c>
      <c r="BD6" s="702"/>
      <c r="BE6" s="702" t="s">
        <v>108</v>
      </c>
      <c r="BF6" s="702"/>
    </row>
    <row r="7" spans="1:58" ht="21" customHeight="1">
      <c r="A7" s="482" t="s">
        <v>109</v>
      </c>
      <c r="B7" s="482" t="s">
        <v>110</v>
      </c>
      <c r="C7" s="482" t="s">
        <v>109</v>
      </c>
      <c r="D7" s="482" t="s">
        <v>110</v>
      </c>
      <c r="E7" s="482" t="s">
        <v>109</v>
      </c>
      <c r="F7" s="482" t="s">
        <v>110</v>
      </c>
      <c r="G7" s="482" t="s">
        <v>109</v>
      </c>
      <c r="H7" s="482" t="s">
        <v>110</v>
      </c>
      <c r="I7" s="482" t="s">
        <v>109</v>
      </c>
      <c r="J7" s="482" t="s">
        <v>110</v>
      </c>
      <c r="K7" s="482" t="s">
        <v>109</v>
      </c>
      <c r="L7" s="482" t="s">
        <v>110</v>
      </c>
      <c r="M7" s="715"/>
      <c r="N7" s="483" t="s">
        <v>109</v>
      </c>
      <c r="O7" s="483" t="s">
        <v>110</v>
      </c>
      <c r="P7" s="483" t="s">
        <v>109</v>
      </c>
      <c r="Q7" s="483" t="s">
        <v>110</v>
      </c>
      <c r="R7" s="483" t="s">
        <v>109</v>
      </c>
      <c r="S7" s="483" t="s">
        <v>110</v>
      </c>
      <c r="T7" s="483" t="s">
        <v>109</v>
      </c>
      <c r="U7" s="483" t="s">
        <v>110</v>
      </c>
      <c r="V7" s="483" t="s">
        <v>109</v>
      </c>
      <c r="W7" s="483" t="s">
        <v>110</v>
      </c>
      <c r="X7" s="483" t="s">
        <v>109</v>
      </c>
      <c r="Y7" s="483" t="s">
        <v>110</v>
      </c>
      <c r="Z7" s="483" t="s">
        <v>109</v>
      </c>
      <c r="AA7" s="483" t="s">
        <v>110</v>
      </c>
      <c r="AB7" s="483" t="s">
        <v>109</v>
      </c>
      <c r="AC7" s="483" t="s">
        <v>110</v>
      </c>
      <c r="AD7" s="715"/>
      <c r="AE7" s="482" t="s">
        <v>109</v>
      </c>
      <c r="AF7" s="484" t="s">
        <v>110</v>
      </c>
      <c r="AG7" s="482" t="s">
        <v>109</v>
      </c>
      <c r="AH7" s="484" t="s">
        <v>110</v>
      </c>
      <c r="AI7" s="482" t="s">
        <v>109</v>
      </c>
      <c r="AJ7" s="482" t="s">
        <v>110</v>
      </c>
      <c r="AK7" s="482" t="s">
        <v>109</v>
      </c>
      <c r="AL7" s="482" t="s">
        <v>110</v>
      </c>
      <c r="AM7" s="482" t="s">
        <v>109</v>
      </c>
      <c r="AN7" s="482" t="s">
        <v>110</v>
      </c>
      <c r="AO7" s="482" t="s">
        <v>109</v>
      </c>
      <c r="AP7" s="482" t="s">
        <v>110</v>
      </c>
      <c r="AQ7" s="482" t="s">
        <v>109</v>
      </c>
      <c r="AR7" s="482" t="s">
        <v>110</v>
      </c>
      <c r="AS7" s="482" t="s">
        <v>109</v>
      </c>
      <c r="AT7" s="482" t="s">
        <v>110</v>
      </c>
      <c r="AU7" s="482" t="s">
        <v>109</v>
      </c>
      <c r="AV7" s="482" t="s">
        <v>110</v>
      </c>
      <c r="AW7" s="482" t="s">
        <v>109</v>
      </c>
      <c r="AX7" s="482" t="s">
        <v>110</v>
      </c>
      <c r="AY7" s="482" t="s">
        <v>109</v>
      </c>
      <c r="AZ7" s="482" t="s">
        <v>110</v>
      </c>
      <c r="BA7" s="482" t="s">
        <v>109</v>
      </c>
      <c r="BB7" s="482" t="s">
        <v>110</v>
      </c>
      <c r="BC7" s="482" t="s">
        <v>109</v>
      </c>
      <c r="BD7" s="482" t="s">
        <v>110</v>
      </c>
      <c r="BE7" s="482" t="s">
        <v>109</v>
      </c>
      <c r="BF7" s="482" t="s">
        <v>110</v>
      </c>
    </row>
    <row r="8" spans="1:58" ht="46.5" customHeight="1">
      <c r="A8" s="485"/>
      <c r="B8" s="485"/>
      <c r="C8" s="485"/>
      <c r="D8" s="485">
        <v>3</v>
      </c>
      <c r="E8" s="485">
        <v>0</v>
      </c>
      <c r="F8" s="485">
        <v>0</v>
      </c>
      <c r="G8" s="485">
        <v>0</v>
      </c>
      <c r="H8" s="485">
        <v>5</v>
      </c>
      <c r="I8" s="485">
        <f>A8-E8</f>
        <v>0</v>
      </c>
      <c r="J8" s="485">
        <f>B8-F8</f>
        <v>0</v>
      </c>
      <c r="K8" s="485">
        <f>C8-G8</f>
        <v>0</v>
      </c>
      <c r="L8" s="486">
        <f>D8-H8</f>
        <v>-2</v>
      </c>
      <c r="M8" s="487" t="s">
        <v>186</v>
      </c>
      <c r="N8" s="488">
        <f>16+19</f>
        <v>35</v>
      </c>
      <c r="O8" s="489">
        <v>0</v>
      </c>
      <c r="P8" s="488">
        <f>891+178</f>
        <v>1069</v>
      </c>
      <c r="Q8" s="489">
        <v>1</v>
      </c>
      <c r="R8" s="488">
        <f>16+19</f>
        <v>35</v>
      </c>
      <c r="S8" s="489">
        <v>0</v>
      </c>
      <c r="T8" s="488">
        <f>50+11</f>
        <v>61</v>
      </c>
      <c r="U8" s="488">
        <f>29+0</f>
        <v>29</v>
      </c>
      <c r="V8" s="488">
        <f>35+16</f>
        <v>51</v>
      </c>
      <c r="W8" s="489">
        <v>0</v>
      </c>
      <c r="X8" s="489">
        <f>80+0</f>
        <v>80</v>
      </c>
      <c r="Y8" s="489">
        <f>1+0</f>
        <v>1</v>
      </c>
      <c r="Z8" s="489">
        <f>3+0</f>
        <v>3</v>
      </c>
      <c r="AA8" s="489">
        <v>0</v>
      </c>
      <c r="AB8" s="489">
        <f>6+0</f>
        <v>6</v>
      </c>
      <c r="AC8" s="489">
        <v>0</v>
      </c>
      <c r="AD8" s="459" t="s">
        <v>186</v>
      </c>
      <c r="AE8" s="489">
        <f aca="true" t="shared" si="0" ref="AE8:AE13">N8+R8+V8+Z8</f>
        <v>124</v>
      </c>
      <c r="AF8" s="489">
        <f aca="true" t="shared" si="1" ref="AF8:AF13">O8+S8+W8+AA8</f>
        <v>0</v>
      </c>
      <c r="AG8" s="489">
        <f aca="true" t="shared" si="2" ref="AG8:AH13">P8+T8+X8+AB8</f>
        <v>1216</v>
      </c>
      <c r="AH8" s="489">
        <f t="shared" si="2"/>
        <v>31</v>
      </c>
      <c r="AI8" s="489">
        <f>15+22</f>
        <v>37</v>
      </c>
      <c r="AJ8" s="489">
        <v>0</v>
      </c>
      <c r="AK8" s="489">
        <f>953+185</f>
        <v>1138</v>
      </c>
      <c r="AL8" s="322">
        <f>4+0</f>
        <v>4</v>
      </c>
      <c r="AM8" s="489">
        <f>14+25</f>
        <v>39</v>
      </c>
      <c r="AN8" s="489">
        <v>0</v>
      </c>
      <c r="AO8" s="489">
        <f>55+20</f>
        <v>75</v>
      </c>
      <c r="AP8" s="489">
        <v>31</v>
      </c>
      <c r="AQ8" s="489">
        <f>42+30</f>
        <v>72</v>
      </c>
      <c r="AR8" s="489">
        <v>0</v>
      </c>
      <c r="AS8" s="489">
        <f>83+0</f>
        <v>83</v>
      </c>
      <c r="AT8" s="489">
        <f>1+0</f>
        <v>1</v>
      </c>
      <c r="AU8" s="489">
        <v>5</v>
      </c>
      <c r="AV8" s="489">
        <v>0</v>
      </c>
      <c r="AW8" s="489">
        <v>9</v>
      </c>
      <c r="AX8" s="489">
        <v>0</v>
      </c>
      <c r="AY8" s="322">
        <f aca="true" t="shared" si="3" ref="AY8:BA13">AQ8+AU8+AI8+AM8</f>
        <v>153</v>
      </c>
      <c r="AZ8" s="489">
        <f aca="true" t="shared" si="4" ref="AZ8:AZ13">AJ8+AN8+AR8+AV8</f>
        <v>0</v>
      </c>
      <c r="BA8" s="322">
        <f t="shared" si="3"/>
        <v>1305</v>
      </c>
      <c r="BB8" s="322">
        <f aca="true" t="shared" si="5" ref="BB8:BB13">AL8+AP8+AT8+AX8</f>
        <v>36</v>
      </c>
      <c r="BC8" s="488">
        <f aca="true" t="shared" si="6" ref="BC8:BC13">AE8-AY8</f>
        <v>-29</v>
      </c>
      <c r="BD8" s="489">
        <f aca="true" t="shared" si="7" ref="BD8:BD13">AF8-AZ8</f>
        <v>0</v>
      </c>
      <c r="BE8" s="488">
        <f aca="true" t="shared" si="8" ref="BE8:BE13">AG8-BA8</f>
        <v>-89</v>
      </c>
      <c r="BF8" s="488">
        <f aca="true" t="shared" si="9" ref="BF8:BF13">AH8-BB8</f>
        <v>-5</v>
      </c>
    </row>
    <row r="9" spans="1:58" ht="34.5" customHeight="1">
      <c r="A9" s="490">
        <v>0</v>
      </c>
      <c r="B9" s="490">
        <v>0</v>
      </c>
      <c r="C9" s="490">
        <v>0</v>
      </c>
      <c r="D9" s="490">
        <v>0</v>
      </c>
      <c r="E9" s="490">
        <v>0</v>
      </c>
      <c r="F9" s="490">
        <v>0</v>
      </c>
      <c r="G9" s="490">
        <v>0</v>
      </c>
      <c r="H9" s="490">
        <v>0</v>
      </c>
      <c r="I9" s="490">
        <v>0</v>
      </c>
      <c r="J9" s="490">
        <v>0</v>
      </c>
      <c r="K9" s="490">
        <v>0</v>
      </c>
      <c r="L9" s="490">
        <v>0</v>
      </c>
      <c r="M9" s="491" t="s">
        <v>187</v>
      </c>
      <c r="N9" s="318"/>
      <c r="O9" s="322">
        <v>0</v>
      </c>
      <c r="P9" s="318">
        <v>59</v>
      </c>
      <c r="Q9" s="322">
        <v>0</v>
      </c>
      <c r="R9" s="322">
        <v>0</v>
      </c>
      <c r="S9" s="322">
        <v>0</v>
      </c>
      <c r="T9" s="322">
        <v>0</v>
      </c>
      <c r="U9" s="322">
        <v>0</v>
      </c>
      <c r="V9" s="318">
        <v>5</v>
      </c>
      <c r="W9" s="322">
        <v>0</v>
      </c>
      <c r="X9" s="322">
        <v>6</v>
      </c>
      <c r="Y9" s="322">
        <v>0</v>
      </c>
      <c r="Z9" s="322">
        <v>2</v>
      </c>
      <c r="AA9" s="322">
        <v>0</v>
      </c>
      <c r="AB9" s="322">
        <v>0</v>
      </c>
      <c r="AC9" s="322">
        <v>0</v>
      </c>
      <c r="AD9" s="491" t="s">
        <v>187</v>
      </c>
      <c r="AE9" s="322">
        <f t="shared" si="0"/>
        <v>7</v>
      </c>
      <c r="AF9" s="322">
        <f t="shared" si="1"/>
        <v>0</v>
      </c>
      <c r="AG9" s="322">
        <f t="shared" si="2"/>
        <v>65</v>
      </c>
      <c r="AH9" s="322">
        <f>Q9+U9+Y9+AC9</f>
        <v>0</v>
      </c>
      <c r="AI9" s="322">
        <v>1</v>
      </c>
      <c r="AJ9" s="322">
        <v>0</v>
      </c>
      <c r="AK9" s="322">
        <v>69</v>
      </c>
      <c r="AL9" s="322">
        <v>0</v>
      </c>
      <c r="AM9" s="322">
        <v>0</v>
      </c>
      <c r="AN9" s="322">
        <v>0</v>
      </c>
      <c r="AO9" s="322">
        <v>0</v>
      </c>
      <c r="AP9" s="322">
        <v>0</v>
      </c>
      <c r="AQ9" s="322">
        <v>5</v>
      </c>
      <c r="AR9" s="322">
        <v>0</v>
      </c>
      <c r="AS9" s="322">
        <v>8</v>
      </c>
      <c r="AT9" s="322">
        <v>0</v>
      </c>
      <c r="AU9" s="322">
        <v>2</v>
      </c>
      <c r="AV9" s="322">
        <v>0</v>
      </c>
      <c r="AW9" s="322">
        <v>0</v>
      </c>
      <c r="AX9" s="322">
        <v>0</v>
      </c>
      <c r="AY9" s="322">
        <f t="shared" si="3"/>
        <v>8</v>
      </c>
      <c r="AZ9" s="322">
        <f t="shared" si="4"/>
        <v>0</v>
      </c>
      <c r="BA9" s="322">
        <f t="shared" si="3"/>
        <v>77</v>
      </c>
      <c r="BB9" s="322">
        <f t="shared" si="5"/>
        <v>0</v>
      </c>
      <c r="BC9" s="318">
        <f t="shared" si="6"/>
        <v>-1</v>
      </c>
      <c r="BD9" s="322">
        <f t="shared" si="7"/>
        <v>0</v>
      </c>
      <c r="BE9" s="318">
        <f t="shared" si="8"/>
        <v>-12</v>
      </c>
      <c r="BF9" s="322">
        <f t="shared" si="9"/>
        <v>0</v>
      </c>
    </row>
    <row r="10" spans="1:58" ht="34.5" customHeight="1">
      <c r="A10" s="490"/>
      <c r="B10" s="490"/>
      <c r="C10" s="490"/>
      <c r="D10" s="490"/>
      <c r="E10" s="490">
        <v>0</v>
      </c>
      <c r="F10" s="490">
        <v>0</v>
      </c>
      <c r="G10" s="490">
        <v>0</v>
      </c>
      <c r="H10" s="490">
        <v>0</v>
      </c>
      <c r="I10" s="490">
        <v>0</v>
      </c>
      <c r="J10" s="490">
        <v>0</v>
      </c>
      <c r="K10" s="490">
        <v>0</v>
      </c>
      <c r="L10" s="490">
        <v>0</v>
      </c>
      <c r="M10" s="459" t="s">
        <v>189</v>
      </c>
      <c r="N10" s="318">
        <v>8</v>
      </c>
      <c r="O10" s="322">
        <v>0</v>
      </c>
      <c r="P10" s="318">
        <v>46</v>
      </c>
      <c r="Q10" s="322">
        <v>3</v>
      </c>
      <c r="R10" s="322">
        <v>0</v>
      </c>
      <c r="S10" s="322">
        <v>0</v>
      </c>
      <c r="T10" s="322">
        <v>0</v>
      </c>
      <c r="U10" s="322">
        <v>0</v>
      </c>
      <c r="V10" s="318">
        <v>5</v>
      </c>
      <c r="W10" s="322">
        <v>0</v>
      </c>
      <c r="X10" s="322">
        <v>10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459" t="s">
        <v>189</v>
      </c>
      <c r="AE10" s="322">
        <f t="shared" si="0"/>
        <v>13</v>
      </c>
      <c r="AF10" s="322">
        <f t="shared" si="1"/>
        <v>0</v>
      </c>
      <c r="AG10" s="322">
        <f t="shared" si="2"/>
        <v>56</v>
      </c>
      <c r="AH10" s="322">
        <f>Q10+U10+Y10+AC10</f>
        <v>3</v>
      </c>
      <c r="AI10" s="322">
        <v>8</v>
      </c>
      <c r="AJ10" s="322">
        <v>0</v>
      </c>
      <c r="AK10" s="322">
        <v>51</v>
      </c>
      <c r="AL10" s="322">
        <v>3</v>
      </c>
      <c r="AM10" s="322">
        <v>0</v>
      </c>
      <c r="AN10" s="322">
        <v>0</v>
      </c>
      <c r="AO10" s="322">
        <v>0</v>
      </c>
      <c r="AP10" s="322">
        <v>0</v>
      </c>
      <c r="AQ10" s="322">
        <v>5</v>
      </c>
      <c r="AR10" s="322">
        <v>0</v>
      </c>
      <c r="AS10" s="322">
        <v>10</v>
      </c>
      <c r="AT10" s="322">
        <v>0</v>
      </c>
      <c r="AU10" s="322">
        <v>0</v>
      </c>
      <c r="AV10" s="322">
        <v>0</v>
      </c>
      <c r="AW10" s="322">
        <v>0</v>
      </c>
      <c r="AX10" s="322">
        <v>0</v>
      </c>
      <c r="AY10" s="322">
        <f t="shared" si="3"/>
        <v>13</v>
      </c>
      <c r="AZ10" s="322">
        <f t="shared" si="4"/>
        <v>0</v>
      </c>
      <c r="BA10" s="322">
        <f t="shared" si="3"/>
        <v>61</v>
      </c>
      <c r="BB10" s="322">
        <f t="shared" si="5"/>
        <v>3</v>
      </c>
      <c r="BC10" s="318">
        <f t="shared" si="6"/>
        <v>0</v>
      </c>
      <c r="BD10" s="322">
        <f t="shared" si="7"/>
        <v>0</v>
      </c>
      <c r="BE10" s="492">
        <f t="shared" si="8"/>
        <v>-5</v>
      </c>
      <c r="BF10" s="322">
        <f t="shared" si="9"/>
        <v>0</v>
      </c>
    </row>
    <row r="11" spans="1:58" ht="34.5" customHeight="1">
      <c r="A11" s="490">
        <v>0</v>
      </c>
      <c r="B11" s="490">
        <v>0</v>
      </c>
      <c r="C11" s="490">
        <v>0</v>
      </c>
      <c r="D11" s="490">
        <v>0</v>
      </c>
      <c r="E11" s="490">
        <v>0</v>
      </c>
      <c r="F11" s="490">
        <v>0</v>
      </c>
      <c r="G11" s="490">
        <v>0</v>
      </c>
      <c r="H11" s="490">
        <v>0</v>
      </c>
      <c r="I11" s="490">
        <v>0</v>
      </c>
      <c r="J11" s="490">
        <v>0</v>
      </c>
      <c r="K11" s="490">
        <v>0</v>
      </c>
      <c r="L11" s="490">
        <v>0</v>
      </c>
      <c r="M11" s="459" t="s">
        <v>200</v>
      </c>
      <c r="N11" s="493">
        <v>1</v>
      </c>
      <c r="O11" s="494">
        <v>0</v>
      </c>
      <c r="P11" s="493">
        <v>61</v>
      </c>
      <c r="Q11" s="494">
        <v>26</v>
      </c>
      <c r="R11" s="494">
        <v>6</v>
      </c>
      <c r="S11" s="494">
        <v>0</v>
      </c>
      <c r="T11" s="494">
        <v>20</v>
      </c>
      <c r="U11" s="494">
        <v>4</v>
      </c>
      <c r="V11" s="493">
        <v>6</v>
      </c>
      <c r="W11" s="494">
        <v>0</v>
      </c>
      <c r="X11" s="494">
        <v>2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459" t="s">
        <v>191</v>
      </c>
      <c r="AE11" s="322">
        <f t="shared" si="0"/>
        <v>13</v>
      </c>
      <c r="AF11" s="322">
        <f t="shared" si="1"/>
        <v>0</v>
      </c>
      <c r="AG11" s="322">
        <f t="shared" si="2"/>
        <v>83</v>
      </c>
      <c r="AH11" s="322">
        <f>Q11+U11+Y11+AC11</f>
        <v>30</v>
      </c>
      <c r="AI11" s="322">
        <v>1</v>
      </c>
      <c r="AJ11" s="322">
        <v>0</v>
      </c>
      <c r="AK11" s="322">
        <v>61</v>
      </c>
      <c r="AL11" s="322">
        <v>26</v>
      </c>
      <c r="AM11" s="322">
        <v>6</v>
      </c>
      <c r="AN11" s="322">
        <v>0</v>
      </c>
      <c r="AO11" s="322">
        <v>20</v>
      </c>
      <c r="AP11" s="322">
        <v>4</v>
      </c>
      <c r="AQ11" s="322">
        <v>6</v>
      </c>
      <c r="AR11" s="322">
        <v>0</v>
      </c>
      <c r="AS11" s="322">
        <v>2</v>
      </c>
      <c r="AT11" s="322">
        <v>0</v>
      </c>
      <c r="AU11" s="322">
        <v>0</v>
      </c>
      <c r="AV11" s="322">
        <v>0</v>
      </c>
      <c r="AW11" s="322">
        <v>0</v>
      </c>
      <c r="AX11" s="322">
        <v>0</v>
      </c>
      <c r="AY11" s="322">
        <f t="shared" si="3"/>
        <v>13</v>
      </c>
      <c r="AZ11" s="322">
        <f t="shared" si="4"/>
        <v>0</v>
      </c>
      <c r="BA11" s="322">
        <f t="shared" si="3"/>
        <v>83</v>
      </c>
      <c r="BB11" s="322">
        <f t="shared" si="5"/>
        <v>30</v>
      </c>
      <c r="BC11" s="495">
        <f t="shared" si="6"/>
        <v>0</v>
      </c>
      <c r="BD11" s="322">
        <f t="shared" si="7"/>
        <v>0</v>
      </c>
      <c r="BE11" s="496">
        <f t="shared" si="8"/>
        <v>0</v>
      </c>
      <c r="BF11" s="322">
        <f t="shared" si="9"/>
        <v>0</v>
      </c>
    </row>
    <row r="12" spans="1:58" ht="34.5" customHeight="1">
      <c r="A12" s="490">
        <v>0</v>
      </c>
      <c r="B12" s="490">
        <v>0</v>
      </c>
      <c r="C12" s="490">
        <v>0</v>
      </c>
      <c r="D12" s="490">
        <v>0</v>
      </c>
      <c r="E12" s="490">
        <v>0</v>
      </c>
      <c r="F12" s="490">
        <v>0</v>
      </c>
      <c r="G12" s="490">
        <v>0</v>
      </c>
      <c r="H12" s="490">
        <v>0</v>
      </c>
      <c r="I12" s="490">
        <v>0</v>
      </c>
      <c r="J12" s="490">
        <v>0</v>
      </c>
      <c r="K12" s="490">
        <v>0</v>
      </c>
      <c r="L12" s="490">
        <v>0</v>
      </c>
      <c r="M12" s="459" t="s">
        <v>902</v>
      </c>
      <c r="N12" s="322">
        <v>0</v>
      </c>
      <c r="O12" s="322">
        <v>0</v>
      </c>
      <c r="P12" s="318">
        <v>21</v>
      </c>
      <c r="Q12" s="497">
        <v>15</v>
      </c>
      <c r="R12" s="322">
        <v>0</v>
      </c>
      <c r="S12" s="322">
        <v>0</v>
      </c>
      <c r="T12" s="322">
        <v>0</v>
      </c>
      <c r="U12" s="322">
        <v>50</v>
      </c>
      <c r="V12" s="320"/>
      <c r="W12" s="322">
        <v>0</v>
      </c>
      <c r="X12" s="322">
        <v>0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173" t="s">
        <v>199</v>
      </c>
      <c r="AE12" s="322">
        <f t="shared" si="0"/>
        <v>0</v>
      </c>
      <c r="AF12" s="322">
        <f t="shared" si="1"/>
        <v>0</v>
      </c>
      <c r="AG12" s="322">
        <f t="shared" si="2"/>
        <v>21</v>
      </c>
      <c r="AH12" s="322">
        <f>Q12+U12+Y12+AC12</f>
        <v>65</v>
      </c>
      <c r="AI12" s="322">
        <v>0</v>
      </c>
      <c r="AJ12" s="322">
        <v>0</v>
      </c>
      <c r="AK12" s="322">
        <v>21</v>
      </c>
      <c r="AL12" s="322">
        <v>15</v>
      </c>
      <c r="AM12" s="322">
        <v>0</v>
      </c>
      <c r="AN12" s="322">
        <v>0</v>
      </c>
      <c r="AO12" s="322">
        <v>0</v>
      </c>
      <c r="AP12" s="322">
        <v>50</v>
      </c>
      <c r="AQ12" s="322">
        <v>0</v>
      </c>
      <c r="AR12" s="322">
        <v>0</v>
      </c>
      <c r="AS12" s="322">
        <v>0</v>
      </c>
      <c r="AT12" s="322">
        <v>0</v>
      </c>
      <c r="AU12" s="322">
        <v>0</v>
      </c>
      <c r="AV12" s="322">
        <v>0</v>
      </c>
      <c r="AW12" s="322">
        <v>0</v>
      </c>
      <c r="AX12" s="322">
        <v>0</v>
      </c>
      <c r="AY12" s="322">
        <f t="shared" si="3"/>
        <v>0</v>
      </c>
      <c r="AZ12" s="322">
        <f t="shared" si="4"/>
        <v>0</v>
      </c>
      <c r="BA12" s="322">
        <f t="shared" si="3"/>
        <v>21</v>
      </c>
      <c r="BB12" s="322">
        <f t="shared" si="5"/>
        <v>65</v>
      </c>
      <c r="BC12" s="495">
        <f t="shared" si="6"/>
        <v>0</v>
      </c>
      <c r="BD12" s="322">
        <f t="shared" si="7"/>
        <v>0</v>
      </c>
      <c r="BE12" s="320">
        <f t="shared" si="8"/>
        <v>0</v>
      </c>
      <c r="BF12" s="318">
        <f t="shared" si="9"/>
        <v>0</v>
      </c>
    </row>
    <row r="13" spans="1:58" ht="34.5" customHeight="1">
      <c r="A13" s="498">
        <v>0</v>
      </c>
      <c r="B13" s="498">
        <v>0</v>
      </c>
      <c r="C13" s="498">
        <v>0</v>
      </c>
      <c r="D13" s="498">
        <v>0</v>
      </c>
      <c r="E13" s="498">
        <v>0</v>
      </c>
      <c r="F13" s="498">
        <v>0</v>
      </c>
      <c r="G13" s="498">
        <v>0</v>
      </c>
      <c r="H13" s="498">
        <v>0</v>
      </c>
      <c r="I13" s="498">
        <v>0</v>
      </c>
      <c r="J13" s="498">
        <f>B13-F13</f>
        <v>0</v>
      </c>
      <c r="K13" s="499">
        <v>0</v>
      </c>
      <c r="L13" s="499">
        <f>D13-H13</f>
        <v>0</v>
      </c>
      <c r="M13" s="459" t="s">
        <v>193</v>
      </c>
      <c r="N13" s="318">
        <v>11</v>
      </c>
      <c r="O13" s="322">
        <v>0</v>
      </c>
      <c r="P13" s="318">
        <v>46</v>
      </c>
      <c r="Q13" s="322">
        <v>14</v>
      </c>
      <c r="R13" s="318">
        <v>7</v>
      </c>
      <c r="S13" s="322">
        <v>0</v>
      </c>
      <c r="T13" s="318">
        <v>5</v>
      </c>
      <c r="U13" s="322">
        <v>0</v>
      </c>
      <c r="V13" s="318">
        <v>5</v>
      </c>
      <c r="W13" s="322">
        <v>0</v>
      </c>
      <c r="X13" s="322">
        <v>3</v>
      </c>
      <c r="Y13" s="322">
        <v>4</v>
      </c>
      <c r="Z13" s="322">
        <v>5</v>
      </c>
      <c r="AA13" s="322">
        <v>0</v>
      </c>
      <c r="AB13" s="322">
        <v>31</v>
      </c>
      <c r="AC13" s="322">
        <v>0</v>
      </c>
      <c r="AD13" s="459" t="s">
        <v>193</v>
      </c>
      <c r="AE13" s="322">
        <f t="shared" si="0"/>
        <v>28</v>
      </c>
      <c r="AF13" s="322">
        <f t="shared" si="1"/>
        <v>0</v>
      </c>
      <c r="AG13" s="322">
        <f t="shared" si="2"/>
        <v>85</v>
      </c>
      <c r="AH13" s="322">
        <f>Q13+U13+Y13+AC13</f>
        <v>18</v>
      </c>
      <c r="AI13" s="322">
        <v>12</v>
      </c>
      <c r="AJ13" s="322">
        <v>0</v>
      </c>
      <c r="AK13" s="322">
        <v>54</v>
      </c>
      <c r="AL13" s="322">
        <v>15</v>
      </c>
      <c r="AM13" s="322">
        <v>8</v>
      </c>
      <c r="AN13" s="322">
        <v>0</v>
      </c>
      <c r="AO13" s="322">
        <v>6</v>
      </c>
      <c r="AP13" s="322">
        <v>0</v>
      </c>
      <c r="AQ13" s="322">
        <v>5</v>
      </c>
      <c r="AR13" s="322">
        <v>0</v>
      </c>
      <c r="AS13" s="322">
        <v>5</v>
      </c>
      <c r="AT13" s="322">
        <v>4</v>
      </c>
      <c r="AU13" s="322">
        <v>6</v>
      </c>
      <c r="AV13" s="322">
        <v>0</v>
      </c>
      <c r="AW13" s="322">
        <v>35</v>
      </c>
      <c r="AX13" s="322">
        <v>0</v>
      </c>
      <c r="AY13" s="322">
        <f t="shared" si="3"/>
        <v>31</v>
      </c>
      <c r="AZ13" s="322">
        <f t="shared" si="4"/>
        <v>0</v>
      </c>
      <c r="BA13" s="322">
        <f t="shared" si="3"/>
        <v>100</v>
      </c>
      <c r="BB13" s="322">
        <f t="shared" si="5"/>
        <v>19</v>
      </c>
      <c r="BC13" s="318">
        <f t="shared" si="6"/>
        <v>-3</v>
      </c>
      <c r="BD13" s="322">
        <f t="shared" si="7"/>
        <v>0</v>
      </c>
      <c r="BE13" s="318">
        <f t="shared" si="8"/>
        <v>-15</v>
      </c>
      <c r="BF13" s="318">
        <f t="shared" si="9"/>
        <v>-1</v>
      </c>
    </row>
    <row r="14" spans="1:58" ht="24.75" customHeight="1">
      <c r="A14" s="500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195"/>
      <c r="N14" s="195"/>
      <c r="O14" s="501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</row>
    <row r="15" spans="1:58" ht="24.75" customHeight="1">
      <c r="A15" s="500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2"/>
      <c r="N15" s="502"/>
      <c r="O15" s="501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</row>
    <row r="16" spans="1:58" ht="24.75" customHeight="1">
      <c r="A16" s="500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2"/>
      <c r="N16" s="502"/>
      <c r="O16" s="501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</row>
    <row r="17" spans="1:58" ht="24.75" customHeight="1">
      <c r="A17" s="500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2"/>
      <c r="N17" s="502"/>
      <c r="O17" s="501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</row>
    <row r="18" spans="1:58" ht="24.75" customHeight="1">
      <c r="A18" s="500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2"/>
      <c r="N18" s="502"/>
      <c r="O18" s="501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</row>
    <row r="19" spans="1:58" ht="24.75" customHeight="1">
      <c r="A19" s="500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2"/>
      <c r="N19" s="502"/>
      <c r="O19" s="501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</row>
    <row r="20" spans="1:58" ht="24.75" customHeight="1">
      <c r="A20" s="500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2"/>
      <c r="N20" s="502"/>
      <c r="O20" s="501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</row>
    <row r="21" spans="1:58" ht="24.75" customHeight="1">
      <c r="A21" s="500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2"/>
      <c r="N21" s="502"/>
      <c r="O21" s="501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</row>
    <row r="22" spans="1:58" ht="24.75" customHeight="1">
      <c r="A22" s="500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2"/>
      <c r="N22" s="502"/>
      <c r="O22" s="501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</row>
    <row r="23" spans="1:58" ht="24.75" customHeight="1">
      <c r="A23" s="500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2"/>
      <c r="N23" s="502"/>
      <c r="O23" s="501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</row>
    <row r="24" spans="1:58" ht="24.75" customHeight="1">
      <c r="A24" s="500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2"/>
      <c r="N24" s="502"/>
      <c r="O24" s="501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</row>
    <row r="25" spans="1:58" ht="24.75" customHeight="1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2"/>
      <c r="N25" s="502"/>
      <c r="O25" s="501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</row>
    <row r="26" spans="1:58" ht="24.75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</row>
    <row r="27" spans="1:58" ht="25.5" customHeight="1">
      <c r="A27" s="503">
        <f aca="true" t="shared" si="10" ref="A27:L27">SUM(A8:A26)</f>
        <v>0</v>
      </c>
      <c r="B27" s="503">
        <f t="shared" si="10"/>
        <v>0</v>
      </c>
      <c r="C27" s="503">
        <f t="shared" si="10"/>
        <v>0</v>
      </c>
      <c r="D27" s="503">
        <f t="shared" si="10"/>
        <v>3</v>
      </c>
      <c r="E27" s="503">
        <f t="shared" si="10"/>
        <v>0</v>
      </c>
      <c r="F27" s="503">
        <f t="shared" si="10"/>
        <v>0</v>
      </c>
      <c r="G27" s="503">
        <f t="shared" si="10"/>
        <v>0</v>
      </c>
      <c r="H27" s="503">
        <f t="shared" si="10"/>
        <v>5</v>
      </c>
      <c r="I27" s="503">
        <f t="shared" si="10"/>
        <v>0</v>
      </c>
      <c r="J27" s="503">
        <f t="shared" si="10"/>
        <v>0</v>
      </c>
      <c r="K27" s="503">
        <f t="shared" si="10"/>
        <v>0</v>
      </c>
      <c r="L27" s="503">
        <f t="shared" si="10"/>
        <v>-2</v>
      </c>
      <c r="M27" s="504" t="s">
        <v>178</v>
      </c>
      <c r="N27" s="503">
        <f aca="true" t="shared" si="11" ref="N27:AC27">SUM(N8:N26)</f>
        <v>55</v>
      </c>
      <c r="O27" s="503">
        <f t="shared" si="11"/>
        <v>0</v>
      </c>
      <c r="P27" s="505">
        <f t="shared" si="11"/>
        <v>1302</v>
      </c>
      <c r="Q27" s="503">
        <f t="shared" si="11"/>
        <v>59</v>
      </c>
      <c r="R27" s="503">
        <f t="shared" si="11"/>
        <v>48</v>
      </c>
      <c r="S27" s="503">
        <f t="shared" si="11"/>
        <v>0</v>
      </c>
      <c r="T27" s="506">
        <f t="shared" si="11"/>
        <v>86</v>
      </c>
      <c r="U27" s="503">
        <f t="shared" si="11"/>
        <v>83</v>
      </c>
      <c r="V27" s="503">
        <f t="shared" si="11"/>
        <v>72</v>
      </c>
      <c r="W27" s="503">
        <f t="shared" si="11"/>
        <v>0</v>
      </c>
      <c r="X27" s="506">
        <f t="shared" si="11"/>
        <v>101</v>
      </c>
      <c r="Y27" s="503">
        <f t="shared" si="11"/>
        <v>5</v>
      </c>
      <c r="Z27" s="503">
        <f t="shared" si="11"/>
        <v>10</v>
      </c>
      <c r="AA27" s="503">
        <f t="shared" si="11"/>
        <v>0</v>
      </c>
      <c r="AB27" s="503">
        <f t="shared" si="11"/>
        <v>37</v>
      </c>
      <c r="AC27" s="503">
        <f t="shared" si="11"/>
        <v>0</v>
      </c>
      <c r="AD27" s="503"/>
      <c r="AE27" s="503">
        <f aca="true" t="shared" si="12" ref="AE27:BF27">SUM(AE8:AE26)</f>
        <v>185</v>
      </c>
      <c r="AF27" s="503">
        <f t="shared" si="12"/>
        <v>0</v>
      </c>
      <c r="AG27" s="503">
        <f t="shared" si="12"/>
        <v>1526</v>
      </c>
      <c r="AH27" s="503">
        <f t="shared" si="12"/>
        <v>147</v>
      </c>
      <c r="AI27" s="503">
        <f t="shared" si="12"/>
        <v>59</v>
      </c>
      <c r="AJ27" s="503">
        <f t="shared" si="12"/>
        <v>0</v>
      </c>
      <c r="AK27" s="503">
        <f t="shared" si="12"/>
        <v>1394</v>
      </c>
      <c r="AL27" s="503">
        <f t="shared" si="12"/>
        <v>63</v>
      </c>
      <c r="AM27" s="503">
        <f t="shared" si="12"/>
        <v>53</v>
      </c>
      <c r="AN27" s="503">
        <f t="shared" si="12"/>
        <v>0</v>
      </c>
      <c r="AO27" s="503">
        <f t="shared" si="12"/>
        <v>101</v>
      </c>
      <c r="AP27" s="503">
        <f t="shared" si="12"/>
        <v>85</v>
      </c>
      <c r="AQ27" s="503">
        <f t="shared" si="12"/>
        <v>93</v>
      </c>
      <c r="AR27" s="503">
        <f t="shared" si="12"/>
        <v>0</v>
      </c>
      <c r="AS27" s="503">
        <f t="shared" si="12"/>
        <v>108</v>
      </c>
      <c r="AT27" s="503">
        <f t="shared" si="12"/>
        <v>5</v>
      </c>
      <c r="AU27" s="503">
        <f t="shared" si="12"/>
        <v>13</v>
      </c>
      <c r="AV27" s="503">
        <f t="shared" si="12"/>
        <v>0</v>
      </c>
      <c r="AW27" s="503">
        <f t="shared" si="12"/>
        <v>44</v>
      </c>
      <c r="AX27" s="503">
        <f t="shared" si="12"/>
        <v>0</v>
      </c>
      <c r="AY27" s="503">
        <f t="shared" si="12"/>
        <v>218</v>
      </c>
      <c r="AZ27" s="503">
        <f t="shared" si="12"/>
        <v>0</v>
      </c>
      <c r="BA27" s="503">
        <f t="shared" si="12"/>
        <v>1647</v>
      </c>
      <c r="BB27" s="503">
        <f t="shared" si="12"/>
        <v>153</v>
      </c>
      <c r="BC27" s="503">
        <f t="shared" si="12"/>
        <v>-33</v>
      </c>
      <c r="BD27" s="503">
        <f t="shared" si="12"/>
        <v>0</v>
      </c>
      <c r="BE27" s="503">
        <f t="shared" si="12"/>
        <v>-121</v>
      </c>
      <c r="BF27" s="503">
        <f t="shared" si="12"/>
        <v>-6</v>
      </c>
    </row>
  </sheetData>
  <sheetProtection/>
  <mergeCells count="54">
    <mergeCell ref="A4:L4"/>
    <mergeCell ref="M4:M7"/>
    <mergeCell ref="N4:AC4"/>
    <mergeCell ref="A5:D5"/>
    <mergeCell ref="E5:H5"/>
    <mergeCell ref="I5:L5"/>
    <mergeCell ref="N5:Q5"/>
    <mergeCell ref="R5:U5"/>
    <mergeCell ref="V5:Y5"/>
    <mergeCell ref="Z5:AC5"/>
    <mergeCell ref="A6:B6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X6:Y6"/>
    <mergeCell ref="Z6:AA6"/>
    <mergeCell ref="AB6:AC6"/>
    <mergeCell ref="AD4:AD7"/>
    <mergeCell ref="AE4:AH4"/>
    <mergeCell ref="AE6:AF6"/>
    <mergeCell ref="AG6:AH6"/>
    <mergeCell ref="BC4:BF5"/>
    <mergeCell ref="AE5:AH5"/>
    <mergeCell ref="AI5:AL5"/>
    <mergeCell ref="AM5:AP5"/>
    <mergeCell ref="AQ5:AT5"/>
    <mergeCell ref="AU5:AX5"/>
    <mergeCell ref="AY5:BB5"/>
    <mergeCell ref="AI4:BB4"/>
    <mergeCell ref="BC6:BD6"/>
    <mergeCell ref="BE6:BF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N1:AP1"/>
    <mergeCell ref="AQ1:AU1"/>
    <mergeCell ref="AN2:AP2"/>
    <mergeCell ref="AQ2:AT2"/>
    <mergeCell ref="AN3:AP3"/>
    <mergeCell ref="AQ3:AT3"/>
  </mergeCells>
  <printOptions horizontalCentered="1" verticalCentered="1"/>
  <pageMargins left="0.5905511811023623" right="0.5905511811023623" top="0.7874015748031497" bottom="0.7874015748031497" header="0" footer="0.31496062992125984"/>
  <pageSetup firstPageNumber="62" useFirstPageNumber="1" horizontalDpi="600" verticalDpi="600" orientation="portrait" pageOrder="overThenDown" paperSize="9" r:id="rId1"/>
  <headerFooter alignWithMargins="0">
    <oddFooter xml:space="preserve">&amp;C&amp;P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7" sqref="L7"/>
    </sheetView>
  </sheetViews>
  <sheetFormatPr defaultColWidth="9.00390625" defaultRowHeight="16.5"/>
  <cols>
    <col min="1" max="1" width="7.125" style="1" customWidth="1"/>
    <col min="2" max="2" width="8.875" style="1" customWidth="1"/>
    <col min="3" max="3" width="9.875" style="1" customWidth="1"/>
    <col min="4" max="4" width="8.375" style="1" customWidth="1"/>
    <col min="5" max="5" width="9.25390625" style="1" customWidth="1"/>
    <col min="6" max="6" width="3.50390625" style="1" customWidth="1"/>
    <col min="7" max="7" width="8.625" style="1" customWidth="1"/>
    <col min="8" max="8" width="8.125" style="1" customWidth="1"/>
    <col min="9" max="9" width="3.125" style="1" customWidth="1"/>
    <col min="10" max="10" width="8.625" style="1" customWidth="1"/>
    <col min="11" max="11" width="5.125" style="1" customWidth="1"/>
    <col min="12" max="12" width="9.125" style="1" customWidth="1"/>
    <col min="13" max="13" width="11.50390625" style="1" customWidth="1"/>
    <col min="14" max="14" width="10.875" style="1" customWidth="1"/>
    <col min="15" max="15" width="10.625" style="1" customWidth="1"/>
    <col min="16" max="16" width="11.625" style="1" customWidth="1"/>
    <col min="17" max="17" width="12.875" style="1" customWidth="1"/>
    <col min="18" max="18" width="16.125" style="1" bestFit="1" customWidth="1"/>
    <col min="19" max="19" width="13.375" style="1" customWidth="1"/>
    <col min="20" max="20" width="12.875" style="1" customWidth="1"/>
    <col min="21" max="21" width="10.375" style="1" customWidth="1"/>
    <col min="22" max="22" width="11.625" style="1" customWidth="1"/>
    <col min="23" max="23" width="10.375" style="1" customWidth="1"/>
    <col min="24" max="24" width="11.00390625" style="1" customWidth="1"/>
    <col min="25" max="25" width="10.875" style="1" bestFit="1" customWidth="1"/>
    <col min="26" max="16384" width="9.00390625" style="1" customWidth="1"/>
  </cols>
  <sheetData>
    <row r="1" spans="1:12" ht="26.25" customHeight="1">
      <c r="A1" s="721" t="s">
        <v>86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spans="2:12" ht="26.25" customHeight="1">
      <c r="B2" s="725" t="s">
        <v>451</v>
      </c>
      <c r="C2" s="726"/>
      <c r="D2" s="726"/>
      <c r="E2" s="726"/>
      <c r="F2" s="726"/>
      <c r="G2" s="726"/>
      <c r="H2" s="726"/>
      <c r="I2" s="726"/>
      <c r="J2" s="726"/>
      <c r="L2" s="18" t="s">
        <v>260</v>
      </c>
    </row>
    <row r="3" spans="3:11" s="53" customFormat="1" ht="26.25" customHeight="1">
      <c r="C3" s="663" t="s">
        <v>574</v>
      </c>
      <c r="D3" s="710"/>
      <c r="E3" s="710"/>
      <c r="F3" s="710"/>
      <c r="G3" s="710"/>
      <c r="H3" s="710"/>
      <c r="I3" s="710"/>
      <c r="K3" s="507" t="s">
        <v>352</v>
      </c>
    </row>
    <row r="4" spans="1:12" s="53" customFormat="1" ht="34.5" customHeight="1">
      <c r="A4" s="483" t="s">
        <v>258</v>
      </c>
      <c r="B4" s="722" t="s">
        <v>476</v>
      </c>
      <c r="C4" s="720" t="s">
        <v>258</v>
      </c>
      <c r="D4" s="720"/>
      <c r="E4" s="720"/>
      <c r="F4" s="720"/>
      <c r="G4" s="720"/>
      <c r="H4" s="720"/>
      <c r="I4" s="720"/>
      <c r="J4" s="720"/>
      <c r="K4" s="720"/>
      <c r="L4" s="720"/>
    </row>
    <row r="5" spans="1:12" s="53" customFormat="1" ht="31.5" customHeight="1">
      <c r="A5" s="722" t="s">
        <v>123</v>
      </c>
      <c r="B5" s="723"/>
      <c r="C5" s="720" t="s">
        <v>114</v>
      </c>
      <c r="D5" s="720" t="s">
        <v>115</v>
      </c>
      <c r="E5" s="720" t="s">
        <v>116</v>
      </c>
      <c r="F5" s="720" t="s">
        <v>117</v>
      </c>
      <c r="G5" s="720" t="s">
        <v>118</v>
      </c>
      <c r="H5" s="720" t="s">
        <v>119</v>
      </c>
      <c r="I5" s="716" t="s">
        <v>120</v>
      </c>
      <c r="J5" s="716" t="s">
        <v>121</v>
      </c>
      <c r="K5" s="716" t="s">
        <v>122</v>
      </c>
      <c r="L5" s="720" t="s">
        <v>75</v>
      </c>
    </row>
    <row r="6" spans="1:19" s="53" customFormat="1" ht="30.75" customHeight="1">
      <c r="A6" s="724"/>
      <c r="B6" s="724"/>
      <c r="C6" s="720"/>
      <c r="D6" s="720"/>
      <c r="E6" s="720"/>
      <c r="F6" s="720"/>
      <c r="G6" s="720"/>
      <c r="H6" s="720"/>
      <c r="I6" s="716"/>
      <c r="J6" s="716"/>
      <c r="K6" s="716"/>
      <c r="L6" s="720"/>
      <c r="M6" s="53" t="s">
        <v>277</v>
      </c>
      <c r="P6" s="53" t="s">
        <v>394</v>
      </c>
      <c r="S6" s="53" t="s">
        <v>278</v>
      </c>
    </row>
    <row r="7" spans="1:25" s="53" customFormat="1" ht="49.5" customHeight="1">
      <c r="A7" s="508">
        <f>2327712+52222+240084+143994+265065</f>
        <v>3029077</v>
      </c>
      <c r="B7" s="509" t="s">
        <v>186</v>
      </c>
      <c r="C7" s="510">
        <f>848119605+21941867</f>
        <v>870061472</v>
      </c>
      <c r="D7" s="510">
        <f>13499779-2327712</f>
        <v>11172067</v>
      </c>
      <c r="E7" s="510">
        <f>129156479-52222+347290</f>
        <v>129451547</v>
      </c>
      <c r="F7" s="510"/>
      <c r="G7" s="510">
        <f>176945615+137734539+4952822-240084</f>
        <v>319392892</v>
      </c>
      <c r="H7" s="510">
        <f>82065166+715376+370714</f>
        <v>83151256</v>
      </c>
      <c r="I7" s="510"/>
      <c r="J7" s="510">
        <f>S7</f>
        <v>122819237</v>
      </c>
      <c r="K7" s="510"/>
      <c r="L7" s="510">
        <f aca="true" t="shared" si="0" ref="L7:L12">SUM(C7:K7)</f>
        <v>1536048471</v>
      </c>
      <c r="M7" s="511"/>
      <c r="N7" s="511"/>
      <c r="O7" s="511"/>
      <c r="P7" s="511"/>
      <c r="Q7" s="511"/>
      <c r="R7" s="511"/>
      <c r="S7" s="511">
        <f>SUM(T7:Y7)</f>
        <v>122819237</v>
      </c>
      <c r="T7" s="511">
        <v>95555374</v>
      </c>
      <c r="U7" s="511">
        <v>1791445</v>
      </c>
      <c r="V7" s="511">
        <v>21272256</v>
      </c>
      <c r="W7" s="511">
        <v>816414</v>
      </c>
      <c r="X7" s="511">
        <v>1478497</v>
      </c>
      <c r="Y7" s="511">
        <v>1905251</v>
      </c>
    </row>
    <row r="8" spans="1:25" s="53" customFormat="1" ht="49.5" customHeight="1">
      <c r="A8" s="490">
        <v>0</v>
      </c>
      <c r="B8" s="458" t="s">
        <v>187</v>
      </c>
      <c r="C8" s="512">
        <v>50117031</v>
      </c>
      <c r="D8" s="512">
        <v>387696</v>
      </c>
      <c r="E8" s="512">
        <v>1963422</v>
      </c>
      <c r="F8" s="512"/>
      <c r="G8" s="512">
        <v>12558000</v>
      </c>
      <c r="H8" s="512">
        <v>21295934</v>
      </c>
      <c r="I8" s="512"/>
      <c r="J8" s="512">
        <v>8008941</v>
      </c>
      <c r="K8" s="512">
        <v>9304</v>
      </c>
      <c r="L8" s="512">
        <f t="shared" si="0"/>
        <v>94340328</v>
      </c>
      <c r="M8" s="511">
        <f>SUM(N8:O8)</f>
        <v>13597000</v>
      </c>
      <c r="N8" s="511">
        <v>8700000</v>
      </c>
      <c r="O8" s="511">
        <v>4897000</v>
      </c>
      <c r="P8" s="511">
        <f>SUM(Q8:R8)</f>
        <v>12275886</v>
      </c>
      <c r="Q8" s="511">
        <v>12275886</v>
      </c>
      <c r="R8" s="511"/>
      <c r="S8" s="511">
        <f>SUM(T8:X8)</f>
        <v>7589860</v>
      </c>
      <c r="T8" s="511">
        <v>5491049</v>
      </c>
      <c r="U8" s="511">
        <v>119086</v>
      </c>
      <c r="V8" s="511">
        <v>248575</v>
      </c>
      <c r="W8" s="511">
        <v>6750</v>
      </c>
      <c r="X8" s="511">
        <v>1724400</v>
      </c>
      <c r="Y8" s="511"/>
    </row>
    <row r="9" spans="1:25" s="53" customFormat="1" ht="49.5" customHeight="1">
      <c r="A9" s="490">
        <v>0</v>
      </c>
      <c r="B9" s="448" t="s">
        <v>189</v>
      </c>
      <c r="C9" s="512">
        <v>47135074</v>
      </c>
      <c r="D9" s="512">
        <v>1228180</v>
      </c>
      <c r="E9" s="512">
        <v>1731072</v>
      </c>
      <c r="F9" s="512"/>
      <c r="G9" s="512">
        <v>13890000</v>
      </c>
      <c r="H9" s="512">
        <v>73512492</v>
      </c>
      <c r="I9" s="512"/>
      <c r="J9" s="512">
        <v>7796427</v>
      </c>
      <c r="K9" s="512"/>
      <c r="L9" s="512">
        <f t="shared" si="0"/>
        <v>145293245</v>
      </c>
      <c r="M9" s="511">
        <f>SUM(N9:O9)</f>
        <v>12548000</v>
      </c>
      <c r="N9" s="511">
        <v>7700000</v>
      </c>
      <c r="O9" s="511">
        <v>4848000</v>
      </c>
      <c r="P9" s="511">
        <f>SUM(Q9:R9)</f>
        <v>12390645</v>
      </c>
      <c r="Q9" s="511">
        <v>12090645</v>
      </c>
      <c r="R9" s="511">
        <v>300000</v>
      </c>
      <c r="S9" s="511">
        <f>SUM(T9:X9)</f>
        <v>7738270</v>
      </c>
      <c r="T9" s="511">
        <v>5307118</v>
      </c>
      <c r="U9" s="511">
        <v>95400</v>
      </c>
      <c r="V9" s="511">
        <v>38597</v>
      </c>
      <c r="W9" s="511">
        <v>114655</v>
      </c>
      <c r="X9" s="511">
        <v>2182500</v>
      </c>
      <c r="Y9" s="511"/>
    </row>
    <row r="10" spans="1:25" s="53" customFormat="1" ht="49.5" customHeight="1">
      <c r="A10" s="490">
        <v>0</v>
      </c>
      <c r="B10" s="458" t="s">
        <v>200</v>
      </c>
      <c r="C10" s="512">
        <v>52389639</v>
      </c>
      <c r="D10" s="512">
        <v>14477827</v>
      </c>
      <c r="E10" s="512">
        <v>10430409</v>
      </c>
      <c r="F10" s="512"/>
      <c r="G10" s="512">
        <v>15640000</v>
      </c>
      <c r="H10" s="512">
        <v>18628225</v>
      </c>
      <c r="I10" s="512"/>
      <c r="J10" s="512">
        <v>11489393</v>
      </c>
      <c r="K10" s="512"/>
      <c r="L10" s="512">
        <f t="shared" si="0"/>
        <v>123055493</v>
      </c>
      <c r="M10" s="511">
        <f aca="true" t="shared" si="1" ref="M10:M27">SUM(N10:O10)</f>
        <v>15230000</v>
      </c>
      <c r="N10" s="511">
        <v>8703000</v>
      </c>
      <c r="O10" s="511">
        <v>6527000</v>
      </c>
      <c r="P10" s="511">
        <f>SUM(Q10:R10)</f>
        <v>17949109</v>
      </c>
      <c r="Q10" s="511">
        <v>12743109</v>
      </c>
      <c r="R10" s="511">
        <v>5206000</v>
      </c>
      <c r="S10" s="511">
        <f>SUM(T10:W10)</f>
        <v>11543782</v>
      </c>
      <c r="T10" s="511">
        <v>7755743</v>
      </c>
      <c r="U10" s="511">
        <v>180600</v>
      </c>
      <c r="V10" s="511">
        <v>192000</v>
      </c>
      <c r="W10" s="511">
        <v>3415439</v>
      </c>
      <c r="X10" s="511"/>
      <c r="Y10" s="511"/>
    </row>
    <row r="11" spans="1:25" s="53" customFormat="1" ht="49.5" customHeight="1">
      <c r="A11" s="490">
        <v>0</v>
      </c>
      <c r="B11" s="458" t="s">
        <v>199</v>
      </c>
      <c r="C11" s="512">
        <v>13748440</v>
      </c>
      <c r="D11" s="512">
        <v>22600611</v>
      </c>
      <c r="E11" s="512">
        <v>5957629</v>
      </c>
      <c r="F11" s="512"/>
      <c r="G11" s="512">
        <v>5825000</v>
      </c>
      <c r="H11" s="512">
        <v>6541000</v>
      </c>
      <c r="I11" s="512"/>
      <c r="J11" s="512">
        <v>5569432</v>
      </c>
      <c r="K11" s="512"/>
      <c r="L11" s="512">
        <f t="shared" si="0"/>
        <v>60242112</v>
      </c>
      <c r="M11" s="511">
        <f t="shared" si="1"/>
        <v>5637000</v>
      </c>
      <c r="N11" s="511">
        <v>1544000</v>
      </c>
      <c r="O11" s="511">
        <v>4093000</v>
      </c>
      <c r="P11" s="511">
        <f>SUM(Q11:R11)</f>
        <v>6541000</v>
      </c>
      <c r="Q11" s="511">
        <v>4041000</v>
      </c>
      <c r="R11" s="511">
        <v>2500000</v>
      </c>
      <c r="S11" s="511">
        <f>SUM(T11:X11)</f>
        <v>5376909</v>
      </c>
      <c r="T11" s="511">
        <v>4659249</v>
      </c>
      <c r="U11" s="511">
        <v>99900</v>
      </c>
      <c r="V11" s="511">
        <v>42000</v>
      </c>
      <c r="W11" s="511">
        <v>575760</v>
      </c>
      <c r="X11" s="511"/>
      <c r="Y11" s="511"/>
    </row>
    <row r="12" spans="1:25" s="53" customFormat="1" ht="49.5" customHeight="1">
      <c r="A12" s="513">
        <v>0</v>
      </c>
      <c r="B12" s="458" t="s">
        <v>193</v>
      </c>
      <c r="C12" s="512">
        <v>77416504</v>
      </c>
      <c r="D12" s="512">
        <v>6907552</v>
      </c>
      <c r="E12" s="512">
        <v>4776175</v>
      </c>
      <c r="F12" s="512"/>
      <c r="G12" s="512">
        <v>19243000</v>
      </c>
      <c r="H12" s="512">
        <v>31372895</v>
      </c>
      <c r="I12" s="512"/>
      <c r="J12" s="512">
        <v>12581580</v>
      </c>
      <c r="K12" s="512"/>
      <c r="L12" s="512">
        <f t="shared" si="0"/>
        <v>152297706</v>
      </c>
      <c r="M12" s="511">
        <f t="shared" si="1"/>
        <v>19719000</v>
      </c>
      <c r="N12" s="511">
        <v>10037000</v>
      </c>
      <c r="O12" s="511">
        <v>9682000</v>
      </c>
      <c r="P12" s="511">
        <f>SUM(Q12:R12)</f>
        <v>12199547</v>
      </c>
      <c r="Q12" s="511">
        <v>12199547</v>
      </c>
      <c r="R12" s="511"/>
      <c r="S12" s="511">
        <f>SUM(T12:X12)</f>
        <v>12524054</v>
      </c>
      <c r="T12" s="511">
        <v>8815493</v>
      </c>
      <c r="U12" s="511">
        <v>113716</v>
      </c>
      <c r="V12" s="511">
        <v>57600</v>
      </c>
      <c r="W12" s="511">
        <v>3537245</v>
      </c>
      <c r="X12" s="511"/>
      <c r="Y12" s="511"/>
    </row>
    <row r="13" spans="1:16" s="53" customFormat="1" ht="49.5" customHeight="1">
      <c r="A13" s="514"/>
      <c r="B13" s="458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53">
        <f t="shared" si="1"/>
        <v>0</v>
      </c>
      <c r="P13" s="53">
        <f aca="true" t="shared" si="2" ref="P13:P27">SUM(Q13:T13)</f>
        <v>0</v>
      </c>
    </row>
    <row r="14" spans="1:16" s="53" customFormat="1" ht="24.75" customHeight="1">
      <c r="A14" s="514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3">
        <f t="shared" si="1"/>
        <v>0</v>
      </c>
      <c r="P14" s="53">
        <f t="shared" si="2"/>
        <v>0</v>
      </c>
    </row>
    <row r="15" spans="1:16" s="53" customFormat="1" ht="24.75" customHeight="1">
      <c r="A15" s="514"/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3">
        <f t="shared" si="1"/>
        <v>0</v>
      </c>
      <c r="P15" s="53">
        <f t="shared" si="2"/>
        <v>0</v>
      </c>
    </row>
    <row r="16" spans="1:16" s="53" customFormat="1" ht="24.75" customHeight="1">
      <c r="A16" s="514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3">
        <f t="shared" si="1"/>
        <v>0</v>
      </c>
      <c r="P16" s="53">
        <f t="shared" si="2"/>
        <v>0</v>
      </c>
    </row>
    <row r="17" spans="1:16" s="53" customFormat="1" ht="24.75" customHeight="1">
      <c r="A17" s="514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3">
        <f t="shared" si="1"/>
        <v>0</v>
      </c>
      <c r="P17" s="53">
        <f t="shared" si="2"/>
        <v>0</v>
      </c>
    </row>
    <row r="18" spans="1:16" s="53" customFormat="1" ht="24.75" customHeight="1">
      <c r="A18" s="514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3">
        <f t="shared" si="1"/>
        <v>0</v>
      </c>
      <c r="P18" s="53">
        <f t="shared" si="2"/>
        <v>0</v>
      </c>
    </row>
    <row r="19" spans="1:16" s="53" customFormat="1" ht="24.75" customHeight="1">
      <c r="A19" s="514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3">
        <f t="shared" si="1"/>
        <v>0</v>
      </c>
      <c r="P19" s="53">
        <f t="shared" si="2"/>
        <v>0</v>
      </c>
    </row>
    <row r="20" spans="1:16" s="53" customFormat="1" ht="24.75" customHeight="1">
      <c r="A20" s="514"/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3">
        <f t="shared" si="1"/>
        <v>0</v>
      </c>
      <c r="P20" s="53">
        <f t="shared" si="2"/>
        <v>0</v>
      </c>
    </row>
    <row r="21" spans="1:16" s="53" customFormat="1" ht="24.75" customHeight="1">
      <c r="A21" s="514"/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3">
        <f t="shared" si="1"/>
        <v>0</v>
      </c>
      <c r="P21" s="53">
        <f t="shared" si="2"/>
        <v>0</v>
      </c>
    </row>
    <row r="22" spans="1:16" s="53" customFormat="1" ht="24.75" customHeight="1">
      <c r="A22" s="515">
        <f>SUM(A7:A21)</f>
        <v>3029077</v>
      </c>
      <c r="B22" s="504" t="s">
        <v>178</v>
      </c>
      <c r="C22" s="516">
        <f aca="true" t="shared" si="3" ref="C22:L22">SUM(C7:C21)</f>
        <v>1110868160</v>
      </c>
      <c r="D22" s="516">
        <f t="shared" si="3"/>
        <v>56773933</v>
      </c>
      <c r="E22" s="516">
        <f t="shared" si="3"/>
        <v>154310254</v>
      </c>
      <c r="F22" s="516">
        <f t="shared" si="3"/>
        <v>0</v>
      </c>
      <c r="G22" s="516">
        <f t="shared" si="3"/>
        <v>386548892</v>
      </c>
      <c r="H22" s="516">
        <f t="shared" si="3"/>
        <v>234501802</v>
      </c>
      <c r="I22" s="516"/>
      <c r="J22" s="516">
        <f t="shared" si="3"/>
        <v>168265010</v>
      </c>
      <c r="K22" s="516">
        <f t="shared" si="3"/>
        <v>9304</v>
      </c>
      <c r="L22" s="516">
        <f t="shared" si="3"/>
        <v>2111277355</v>
      </c>
      <c r="M22" s="53">
        <f t="shared" si="1"/>
        <v>0</v>
      </c>
      <c r="P22" s="53">
        <f t="shared" si="2"/>
        <v>0</v>
      </c>
    </row>
    <row r="23" spans="1:16" s="53" customFormat="1" ht="26.25" customHeight="1">
      <c r="A23" s="696" t="s">
        <v>86</v>
      </c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53">
        <f t="shared" si="1"/>
        <v>0</v>
      </c>
      <c r="P23" s="53">
        <f t="shared" si="2"/>
        <v>0</v>
      </c>
    </row>
    <row r="24" spans="4:16" s="53" customFormat="1" ht="26.25" customHeight="1">
      <c r="D24" s="699" t="s">
        <v>276</v>
      </c>
      <c r="E24" s="699"/>
      <c r="F24" s="699"/>
      <c r="G24" s="699"/>
      <c r="H24" s="699"/>
      <c r="I24" s="699"/>
      <c r="L24" s="82" t="s">
        <v>353</v>
      </c>
      <c r="M24" s="53">
        <f t="shared" si="1"/>
        <v>0</v>
      </c>
      <c r="P24" s="53">
        <f t="shared" si="2"/>
        <v>0</v>
      </c>
    </row>
    <row r="25" spans="4:16" s="53" customFormat="1" ht="26.25" customHeight="1">
      <c r="D25" s="663" t="s">
        <v>575</v>
      </c>
      <c r="E25" s="663"/>
      <c r="F25" s="663"/>
      <c r="G25" s="663"/>
      <c r="H25" s="663"/>
      <c r="I25" s="663"/>
      <c r="J25" s="681" t="s">
        <v>352</v>
      </c>
      <c r="K25" s="682"/>
      <c r="L25" s="682"/>
      <c r="M25" s="53">
        <f t="shared" si="1"/>
        <v>0</v>
      </c>
      <c r="P25" s="53">
        <f t="shared" si="2"/>
        <v>0</v>
      </c>
    </row>
    <row r="26" spans="1:16" s="53" customFormat="1" ht="34.5" customHeight="1">
      <c r="A26" s="483" t="s">
        <v>257</v>
      </c>
      <c r="B26" s="722" t="s">
        <v>476</v>
      </c>
      <c r="C26" s="720" t="s">
        <v>257</v>
      </c>
      <c r="D26" s="720"/>
      <c r="E26" s="720"/>
      <c r="F26" s="720"/>
      <c r="G26" s="720"/>
      <c r="H26" s="720"/>
      <c r="I26" s="720"/>
      <c r="J26" s="720"/>
      <c r="K26" s="720"/>
      <c r="L26" s="720"/>
      <c r="M26" s="53">
        <f t="shared" si="1"/>
        <v>0</v>
      </c>
      <c r="P26" s="53">
        <f t="shared" si="2"/>
        <v>0</v>
      </c>
    </row>
    <row r="27" spans="1:16" s="53" customFormat="1" ht="34.5" customHeight="1">
      <c r="A27" s="722" t="s">
        <v>123</v>
      </c>
      <c r="B27" s="723"/>
      <c r="C27" s="720" t="s">
        <v>114</v>
      </c>
      <c r="D27" s="720" t="s">
        <v>115</v>
      </c>
      <c r="E27" s="720" t="s">
        <v>116</v>
      </c>
      <c r="F27" s="720" t="s">
        <v>117</v>
      </c>
      <c r="G27" s="720" t="s">
        <v>118</v>
      </c>
      <c r="H27" s="720" t="s">
        <v>119</v>
      </c>
      <c r="I27" s="716" t="s">
        <v>120</v>
      </c>
      <c r="J27" s="716" t="s">
        <v>121</v>
      </c>
      <c r="K27" s="716" t="s">
        <v>122</v>
      </c>
      <c r="L27" s="720" t="s">
        <v>75</v>
      </c>
      <c r="M27" s="53">
        <f t="shared" si="1"/>
        <v>0</v>
      </c>
      <c r="P27" s="53">
        <f t="shared" si="2"/>
        <v>0</v>
      </c>
    </row>
    <row r="28" spans="1:14" s="53" customFormat="1" ht="34.5" customHeight="1">
      <c r="A28" s="724"/>
      <c r="B28" s="724"/>
      <c r="C28" s="720"/>
      <c r="D28" s="720"/>
      <c r="E28" s="720"/>
      <c r="F28" s="720"/>
      <c r="G28" s="720"/>
      <c r="H28" s="720"/>
      <c r="I28" s="716"/>
      <c r="J28" s="716"/>
      <c r="K28" s="716"/>
      <c r="L28" s="720"/>
      <c r="M28" s="517" t="s">
        <v>277</v>
      </c>
      <c r="N28" s="517"/>
    </row>
    <row r="29" spans="1:24" s="53" customFormat="1" ht="49.5" customHeight="1">
      <c r="A29" s="518">
        <v>0</v>
      </c>
      <c r="B29" s="509" t="s">
        <v>186</v>
      </c>
      <c r="C29" s="510">
        <f>922302000+32366000</f>
        <v>954668000</v>
      </c>
      <c r="D29" s="510">
        <v>13796000</v>
      </c>
      <c r="E29" s="510">
        <f>144163000+1068000</f>
        <v>145231000</v>
      </c>
      <c r="F29" s="510"/>
      <c r="G29" s="510">
        <f>202815000+156367000+9067000</f>
        <v>368249000</v>
      </c>
      <c r="H29" s="510">
        <f>103991000+4800000+405000</f>
        <v>109196000</v>
      </c>
      <c r="I29" s="510"/>
      <c r="J29" s="510">
        <f>111382000+5091000+19202000+900000+1984000+4709000</f>
        <v>143268000</v>
      </c>
      <c r="K29" s="510"/>
      <c r="L29" s="510">
        <f aca="true" t="shared" si="4" ref="L29:L34">SUM(C29:K29)</f>
        <v>1734408000</v>
      </c>
      <c r="M29" s="511"/>
      <c r="N29" s="511"/>
      <c r="O29" s="511"/>
      <c r="P29" s="511"/>
      <c r="Q29" s="511"/>
      <c r="R29" s="511"/>
      <c r="S29" s="511"/>
      <c r="T29" s="511"/>
      <c r="U29" s="511"/>
      <c r="V29" s="511">
        <v>39206000</v>
      </c>
      <c r="W29" s="511">
        <v>829000</v>
      </c>
      <c r="X29" s="511">
        <v>2150000</v>
      </c>
    </row>
    <row r="30" spans="1:24" s="53" customFormat="1" ht="49.5" customHeight="1">
      <c r="A30" s="501">
        <v>0</v>
      </c>
      <c r="B30" s="458" t="s">
        <v>187</v>
      </c>
      <c r="C30" s="512">
        <v>58066000</v>
      </c>
      <c r="D30" s="512">
        <v>2329150</v>
      </c>
      <c r="E30" s="512">
        <v>2593566</v>
      </c>
      <c r="F30" s="512"/>
      <c r="G30" s="512">
        <v>12557562</v>
      </c>
      <c r="H30" s="519">
        <v>21401136</v>
      </c>
      <c r="I30" s="519"/>
      <c r="J30" s="512">
        <v>11569850</v>
      </c>
      <c r="K30" s="512">
        <v>20000</v>
      </c>
      <c r="L30" s="512">
        <f t="shared" si="4"/>
        <v>108537264</v>
      </c>
      <c r="M30" s="511"/>
      <c r="N30" s="511"/>
      <c r="O30" s="511"/>
      <c r="P30" s="511"/>
      <c r="Q30" s="511"/>
      <c r="R30" s="511"/>
      <c r="S30" s="511"/>
      <c r="T30" s="511"/>
      <c r="U30" s="511"/>
      <c r="V30" s="511">
        <v>51000</v>
      </c>
      <c r="W30" s="511">
        <v>4325000</v>
      </c>
      <c r="X30" s="511"/>
    </row>
    <row r="31" spans="1:24" s="53" customFormat="1" ht="49.5" customHeight="1">
      <c r="A31" s="501">
        <v>0</v>
      </c>
      <c r="B31" s="448" t="s">
        <v>189</v>
      </c>
      <c r="C31" s="512">
        <v>51645000</v>
      </c>
      <c r="D31" s="512">
        <v>1175000</v>
      </c>
      <c r="E31" s="512">
        <v>2460000</v>
      </c>
      <c r="F31" s="512"/>
      <c r="G31" s="512">
        <v>13890000</v>
      </c>
      <c r="H31" s="519">
        <v>73500000</v>
      </c>
      <c r="I31" s="519"/>
      <c r="J31" s="512">
        <v>8824000</v>
      </c>
      <c r="K31" s="512">
        <v>0</v>
      </c>
      <c r="L31" s="512">
        <f>SUM(C31:K31)</f>
        <v>151494000</v>
      </c>
      <c r="M31" s="520"/>
      <c r="N31" s="511"/>
      <c r="O31" s="511"/>
      <c r="P31" s="511"/>
      <c r="Q31" s="511"/>
      <c r="R31" s="511"/>
      <c r="S31" s="511"/>
      <c r="T31" s="511"/>
      <c r="U31" s="511"/>
      <c r="V31" s="511">
        <v>50000</v>
      </c>
      <c r="W31" s="511">
        <v>273000</v>
      </c>
      <c r="X31" s="511">
        <v>3636000</v>
      </c>
    </row>
    <row r="32" spans="1:24" s="53" customFormat="1" ht="49.5" customHeight="1">
      <c r="A32" s="501">
        <v>0</v>
      </c>
      <c r="B32" s="458" t="s">
        <v>200</v>
      </c>
      <c r="C32" s="512">
        <v>62967000</v>
      </c>
      <c r="D32" s="512">
        <v>12725000</v>
      </c>
      <c r="E32" s="512">
        <v>9384000</v>
      </c>
      <c r="F32" s="512"/>
      <c r="G32" s="512">
        <v>15640000</v>
      </c>
      <c r="H32" s="512">
        <v>19219000</v>
      </c>
      <c r="I32" s="512"/>
      <c r="J32" s="512">
        <v>14262000</v>
      </c>
      <c r="K32" s="512"/>
      <c r="L32" s="512">
        <f t="shared" si="4"/>
        <v>134197000</v>
      </c>
      <c r="M32" s="511"/>
      <c r="N32" s="511"/>
      <c r="O32" s="511"/>
      <c r="P32" s="511"/>
      <c r="Q32" s="511"/>
      <c r="R32" s="511"/>
      <c r="S32" s="511"/>
      <c r="T32" s="511"/>
      <c r="U32" s="511"/>
      <c r="V32" s="511">
        <v>430000</v>
      </c>
      <c r="W32" s="511">
        <v>4567000</v>
      </c>
      <c r="X32" s="511"/>
    </row>
    <row r="33" spans="1:24" s="53" customFormat="1" ht="49.5" customHeight="1">
      <c r="A33" s="501">
        <v>0</v>
      </c>
      <c r="B33" s="458" t="s">
        <v>192</v>
      </c>
      <c r="C33" s="512">
        <v>13995000</v>
      </c>
      <c r="D33" s="512">
        <v>24148000</v>
      </c>
      <c r="E33" s="512">
        <v>3898000</v>
      </c>
      <c r="F33" s="512"/>
      <c r="G33" s="512">
        <v>5825000</v>
      </c>
      <c r="H33" s="512">
        <v>6541000</v>
      </c>
      <c r="I33" s="512"/>
      <c r="J33" s="512">
        <v>5880000</v>
      </c>
      <c r="K33" s="512"/>
      <c r="L33" s="512">
        <f t="shared" si="4"/>
        <v>60287000</v>
      </c>
      <c r="M33" s="511"/>
      <c r="N33" s="511"/>
      <c r="O33" s="511"/>
      <c r="P33" s="511"/>
      <c r="Q33" s="511"/>
      <c r="R33" s="511"/>
      <c r="S33" s="511"/>
      <c r="T33" s="511"/>
      <c r="U33" s="511"/>
      <c r="V33" s="511">
        <v>81000</v>
      </c>
      <c r="W33" s="511">
        <v>1021000</v>
      </c>
      <c r="X33" s="511"/>
    </row>
    <row r="34" spans="1:24" s="53" customFormat="1" ht="49.5" customHeight="1">
      <c r="A34" s="501">
        <v>0</v>
      </c>
      <c r="B34" s="458" t="s">
        <v>193</v>
      </c>
      <c r="C34" s="512">
        <v>88233000</v>
      </c>
      <c r="D34" s="512">
        <v>8430000</v>
      </c>
      <c r="E34" s="512">
        <v>3392000</v>
      </c>
      <c r="F34" s="512"/>
      <c r="G34" s="512">
        <v>19243000</v>
      </c>
      <c r="H34" s="512">
        <v>37297000</v>
      </c>
      <c r="I34" s="512"/>
      <c r="J34" s="512">
        <v>16698000</v>
      </c>
      <c r="K34" s="512"/>
      <c r="L34" s="512">
        <f t="shared" si="4"/>
        <v>173293000</v>
      </c>
      <c r="M34" s="511"/>
      <c r="N34" s="511"/>
      <c r="O34" s="511"/>
      <c r="P34" s="511"/>
      <c r="Q34" s="511"/>
      <c r="R34" s="511"/>
      <c r="S34" s="511"/>
      <c r="T34" s="511"/>
      <c r="U34" s="511"/>
      <c r="V34" s="511">
        <v>80000</v>
      </c>
      <c r="W34" s="511">
        <v>408000</v>
      </c>
      <c r="X34" s="511">
        <v>6108000</v>
      </c>
    </row>
    <row r="35" spans="1:12" s="53" customFormat="1" ht="49.5" customHeight="1">
      <c r="A35" s="502"/>
      <c r="B35" s="502"/>
      <c r="C35" s="193"/>
      <c r="D35" s="193"/>
      <c r="E35" s="193"/>
      <c r="F35" s="193"/>
      <c r="G35" s="193"/>
      <c r="H35" s="193"/>
      <c r="I35" s="193"/>
      <c r="J35" s="193"/>
      <c r="K35" s="193"/>
      <c r="L35" s="193"/>
    </row>
    <row r="36" spans="1:12" s="53" customFormat="1" ht="24.75" customHeight="1">
      <c r="A36" s="502"/>
      <c r="B36" s="502"/>
      <c r="C36" s="514"/>
      <c r="D36" s="514"/>
      <c r="E36" s="514"/>
      <c r="F36" s="514"/>
      <c r="G36" s="514"/>
      <c r="H36" s="514"/>
      <c r="I36" s="514"/>
      <c r="J36" s="514"/>
      <c r="K36" s="514"/>
      <c r="L36" s="514"/>
    </row>
    <row r="37" spans="1:12" s="53" customFormat="1" ht="24.75" customHeight="1">
      <c r="A37" s="502"/>
      <c r="B37" s="502"/>
      <c r="C37" s="514"/>
      <c r="D37" s="514"/>
      <c r="E37" s="514"/>
      <c r="F37" s="514"/>
      <c r="G37" s="514"/>
      <c r="H37" s="514"/>
      <c r="I37" s="514"/>
      <c r="J37" s="514"/>
      <c r="K37" s="514"/>
      <c r="L37" s="514"/>
    </row>
    <row r="38" spans="1:12" s="53" customFormat="1" ht="24.75" customHeight="1">
      <c r="A38" s="502"/>
      <c r="B38" s="502"/>
      <c r="C38" s="514"/>
      <c r="D38" s="514"/>
      <c r="E38" s="514"/>
      <c r="F38" s="514"/>
      <c r="G38" s="514"/>
      <c r="H38" s="514"/>
      <c r="I38" s="514"/>
      <c r="J38" s="514"/>
      <c r="K38" s="514"/>
      <c r="L38" s="514"/>
    </row>
    <row r="39" spans="1:12" s="53" customFormat="1" ht="24.75" customHeight="1">
      <c r="A39" s="502"/>
      <c r="B39" s="502"/>
      <c r="C39" s="514"/>
      <c r="D39" s="514"/>
      <c r="E39" s="514"/>
      <c r="F39" s="514"/>
      <c r="G39" s="514"/>
      <c r="H39" s="514"/>
      <c r="I39" s="514"/>
      <c r="J39" s="514"/>
      <c r="K39" s="514"/>
      <c r="L39" s="514"/>
    </row>
    <row r="40" spans="1:12" s="53" customFormat="1" ht="24.75" customHeight="1">
      <c r="A40" s="502"/>
      <c r="B40" s="502"/>
      <c r="C40" s="514"/>
      <c r="D40" s="514"/>
      <c r="E40" s="514"/>
      <c r="F40" s="514"/>
      <c r="G40" s="514"/>
      <c r="H40" s="514"/>
      <c r="I40" s="514"/>
      <c r="J40" s="514"/>
      <c r="K40" s="514"/>
      <c r="L40" s="514"/>
    </row>
    <row r="41" spans="1:12" s="53" customFormat="1" ht="24.75" customHeight="1">
      <c r="A41" s="502"/>
      <c r="B41" s="502"/>
      <c r="C41" s="514"/>
      <c r="D41" s="514"/>
      <c r="E41" s="514"/>
      <c r="F41" s="514"/>
      <c r="G41" s="514"/>
      <c r="H41" s="514"/>
      <c r="I41" s="514"/>
      <c r="J41" s="514"/>
      <c r="K41" s="514"/>
      <c r="L41" s="514"/>
    </row>
    <row r="42" spans="1:12" s="53" customFormat="1" ht="20.25" customHeight="1">
      <c r="A42" s="502"/>
      <c r="B42" s="502"/>
      <c r="C42" s="514"/>
      <c r="D42" s="514"/>
      <c r="E42" s="514"/>
      <c r="F42" s="514"/>
      <c r="G42" s="514"/>
      <c r="H42" s="514"/>
      <c r="I42" s="514"/>
      <c r="J42" s="514"/>
      <c r="K42" s="514"/>
      <c r="L42" s="514"/>
    </row>
    <row r="43" spans="1:12" s="53" customFormat="1" ht="24.75" customHeight="1">
      <c r="A43" s="502"/>
      <c r="B43" s="502"/>
      <c r="C43" s="514"/>
      <c r="D43" s="514"/>
      <c r="E43" s="514"/>
      <c r="F43" s="514"/>
      <c r="G43" s="514"/>
      <c r="H43" s="514"/>
      <c r="I43" s="514"/>
      <c r="J43" s="514"/>
      <c r="K43" s="514"/>
      <c r="L43" s="514"/>
    </row>
    <row r="44" spans="1:12" s="53" customFormat="1" ht="24.75" customHeight="1">
      <c r="A44" s="521">
        <f>SUM(A29:A43)</f>
        <v>0</v>
      </c>
      <c r="B44" s="504" t="s">
        <v>178</v>
      </c>
      <c r="C44" s="516">
        <f>SUM(C29:C43)</f>
        <v>1229574000</v>
      </c>
      <c r="D44" s="516">
        <f aca="true" t="shared" si="5" ref="D44:L44">SUM(D29:D43)</f>
        <v>62603150</v>
      </c>
      <c r="E44" s="516">
        <f t="shared" si="5"/>
        <v>166958566</v>
      </c>
      <c r="F44" s="516"/>
      <c r="G44" s="516">
        <f t="shared" si="5"/>
        <v>435404562</v>
      </c>
      <c r="H44" s="516">
        <f t="shared" si="5"/>
        <v>267154136</v>
      </c>
      <c r="I44" s="516"/>
      <c r="J44" s="516">
        <f t="shared" si="5"/>
        <v>200501850</v>
      </c>
      <c r="K44" s="516">
        <f t="shared" si="5"/>
        <v>20000</v>
      </c>
      <c r="L44" s="516">
        <f t="shared" si="5"/>
        <v>2362216264</v>
      </c>
    </row>
    <row r="47" spans="3:12" ht="17.25">
      <c r="C47" s="34"/>
      <c r="D47" s="34"/>
      <c r="E47" s="34"/>
      <c r="F47" s="34"/>
      <c r="G47" s="34"/>
      <c r="H47" s="34"/>
      <c r="I47" s="34"/>
      <c r="J47" s="34"/>
      <c r="K47" s="34"/>
      <c r="L47" s="37"/>
    </row>
    <row r="48" spans="3:12" ht="17.25">
      <c r="C48" s="34"/>
      <c r="D48" s="34"/>
      <c r="E48" s="34"/>
      <c r="F48" s="34"/>
      <c r="G48" s="34"/>
      <c r="H48" s="34"/>
      <c r="I48" s="34"/>
      <c r="J48" s="34"/>
      <c r="K48" s="34"/>
      <c r="L48" s="37"/>
    </row>
    <row r="49" spans="3:12" ht="16.5"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3:12" ht="16.5"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3:12" ht="16.5"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3:12" ht="16.5">
      <c r="C52" s="34"/>
      <c r="D52" s="34"/>
      <c r="E52" s="34"/>
      <c r="F52" s="34"/>
      <c r="G52" s="34"/>
      <c r="H52" s="34"/>
      <c r="I52" s="34"/>
      <c r="J52" s="34"/>
      <c r="K52" s="34"/>
      <c r="L52" s="34"/>
    </row>
  </sheetData>
  <sheetProtection/>
  <mergeCells count="33">
    <mergeCell ref="A23:L23"/>
    <mergeCell ref="D24:I24"/>
    <mergeCell ref="A27:A28"/>
    <mergeCell ref="D25:I25"/>
    <mergeCell ref="B26:B28"/>
    <mergeCell ref="C26:L26"/>
    <mergeCell ref="C27:C28"/>
    <mergeCell ref="D27:D28"/>
    <mergeCell ref="E27:E28"/>
    <mergeCell ref="J25:L25"/>
    <mergeCell ref="H5:H6"/>
    <mergeCell ref="I5:I6"/>
    <mergeCell ref="G5:G6"/>
    <mergeCell ref="K5:K6"/>
    <mergeCell ref="L5:L6"/>
    <mergeCell ref="J5:J6"/>
    <mergeCell ref="A1:L1"/>
    <mergeCell ref="B4:B6"/>
    <mergeCell ref="C4:L4"/>
    <mergeCell ref="C5:C6"/>
    <mergeCell ref="D5:D6"/>
    <mergeCell ref="E5:E6"/>
    <mergeCell ref="F5:F6"/>
    <mergeCell ref="B2:J2"/>
    <mergeCell ref="C3:I3"/>
    <mergeCell ref="A5:A6"/>
    <mergeCell ref="I27:I28"/>
    <mergeCell ref="J27:J28"/>
    <mergeCell ref="K27:K28"/>
    <mergeCell ref="L27:L28"/>
    <mergeCell ref="F27:F28"/>
    <mergeCell ref="G27:G28"/>
    <mergeCell ref="H27:H28"/>
  </mergeCells>
  <printOptions horizontalCentered="1" verticalCentered="1"/>
  <pageMargins left="0.5905511811023623" right="0.5905511811023623" top="0.7874015748031497" bottom="0.7874015748031497" header="0" footer="0.31496062992125984"/>
  <pageSetup firstPageNumber="66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9.00390625" defaultRowHeight="16.5"/>
  <cols>
    <col min="1" max="1" width="12.75390625" style="53" customWidth="1"/>
    <col min="2" max="2" width="11.50390625" style="53" customWidth="1"/>
    <col min="3" max="3" width="12.50390625" style="53" customWidth="1"/>
    <col min="4" max="4" width="12.375" style="53" customWidth="1"/>
    <col min="5" max="5" width="11.75390625" style="53" customWidth="1"/>
    <col min="6" max="6" width="11.375" style="53" customWidth="1"/>
    <col min="7" max="7" width="12.00390625" style="53" customWidth="1"/>
    <col min="8" max="8" width="12.125" style="53" customWidth="1"/>
    <col min="9" max="16384" width="9.00390625" style="53" customWidth="1"/>
  </cols>
  <sheetData>
    <row r="1" spans="1:8" ht="26.25" customHeight="1">
      <c r="A1" s="696" t="s">
        <v>86</v>
      </c>
      <c r="B1" s="696"/>
      <c r="C1" s="696"/>
      <c r="D1" s="696"/>
      <c r="E1" s="696"/>
      <c r="F1" s="696"/>
      <c r="G1" s="696"/>
      <c r="H1" s="696"/>
    </row>
    <row r="2" spans="1:8" ht="26.25" customHeight="1">
      <c r="A2" s="699" t="s">
        <v>124</v>
      </c>
      <c r="B2" s="699"/>
      <c r="C2" s="699"/>
      <c r="D2" s="699"/>
      <c r="E2" s="699"/>
      <c r="F2" s="699"/>
      <c r="G2" s="699"/>
      <c r="H2" s="699"/>
    </row>
    <row r="3" spans="3:8" ht="26.25" customHeight="1">
      <c r="C3" s="663" t="s">
        <v>571</v>
      </c>
      <c r="D3" s="663"/>
      <c r="E3" s="663"/>
      <c r="F3" s="663"/>
      <c r="H3" s="82" t="s">
        <v>127</v>
      </c>
    </row>
    <row r="4" spans="1:8" ht="34.5" customHeight="1">
      <c r="A4" s="702" t="s">
        <v>476</v>
      </c>
      <c r="B4" s="702" t="s">
        <v>125</v>
      </c>
      <c r="C4" s="702"/>
      <c r="D4" s="702"/>
      <c r="E4" s="702"/>
      <c r="F4" s="730" t="s">
        <v>96</v>
      </c>
      <c r="G4" s="730" t="s">
        <v>894</v>
      </c>
      <c r="H4" s="702" t="s">
        <v>126</v>
      </c>
    </row>
    <row r="5" spans="1:8" ht="34.5" customHeight="1">
      <c r="A5" s="702"/>
      <c r="B5" s="728" t="s">
        <v>509</v>
      </c>
      <c r="C5" s="728" t="s">
        <v>510</v>
      </c>
      <c r="D5" s="728" t="s">
        <v>511</v>
      </c>
      <c r="E5" s="727" t="s">
        <v>75</v>
      </c>
      <c r="F5" s="731"/>
      <c r="G5" s="731"/>
      <c r="H5" s="702"/>
    </row>
    <row r="6" spans="1:8" ht="34.5" customHeight="1">
      <c r="A6" s="702"/>
      <c r="B6" s="729"/>
      <c r="C6" s="729"/>
      <c r="D6" s="729"/>
      <c r="E6" s="727"/>
      <c r="F6" s="732"/>
      <c r="G6" s="732"/>
      <c r="H6" s="702"/>
    </row>
    <row r="7" spans="1:9" ht="44.25" customHeight="1">
      <c r="A7" s="587" t="s">
        <v>186</v>
      </c>
      <c r="B7" s="522">
        <f>B25+B26</f>
        <v>580981295</v>
      </c>
      <c r="C7" s="522">
        <f>C25+C26</f>
        <v>1011245000</v>
      </c>
      <c r="D7" s="522">
        <f>D25+D26</f>
        <v>106270000</v>
      </c>
      <c r="E7" s="522">
        <f aca="true" t="shared" si="0" ref="E7:E12">SUM(B7:D7)</f>
        <v>1698496295</v>
      </c>
      <c r="F7" s="522">
        <f>F25+F26</f>
        <v>638676952</v>
      </c>
      <c r="G7" s="523">
        <f aca="true" t="shared" si="1" ref="G7:G12">F7-E7</f>
        <v>-1059819343</v>
      </c>
      <c r="H7" s="522">
        <f>H25+H26</f>
        <v>849285502</v>
      </c>
      <c r="I7" s="524" t="s">
        <v>391</v>
      </c>
    </row>
    <row r="8" spans="1:8" ht="44.25" customHeight="1">
      <c r="A8" s="588" t="s">
        <v>187</v>
      </c>
      <c r="B8" s="526">
        <v>31158546</v>
      </c>
      <c r="C8" s="526">
        <v>8585000</v>
      </c>
      <c r="D8" s="526">
        <v>2989540</v>
      </c>
      <c r="E8" s="526">
        <f t="shared" si="0"/>
        <v>42733086</v>
      </c>
      <c r="F8" s="526">
        <v>33168098</v>
      </c>
      <c r="G8" s="527">
        <f t="shared" si="1"/>
        <v>-9564988</v>
      </c>
      <c r="H8" s="526">
        <v>7421728</v>
      </c>
    </row>
    <row r="9" spans="1:8" ht="44.25" customHeight="1">
      <c r="A9" s="588" t="s">
        <v>189</v>
      </c>
      <c r="B9" s="526">
        <v>0</v>
      </c>
      <c r="C9" s="526">
        <v>1090000</v>
      </c>
      <c r="D9" s="526">
        <v>0</v>
      </c>
      <c r="E9" s="526">
        <f t="shared" si="0"/>
        <v>1090000</v>
      </c>
      <c r="F9" s="526">
        <v>937943</v>
      </c>
      <c r="G9" s="527">
        <f t="shared" si="1"/>
        <v>-152057</v>
      </c>
      <c r="H9" s="526"/>
    </row>
    <row r="10" spans="1:8" ht="44.25" customHeight="1">
      <c r="A10" s="588" t="s">
        <v>200</v>
      </c>
      <c r="B10" s="526">
        <v>40709196</v>
      </c>
      <c r="C10" s="526">
        <v>51495000</v>
      </c>
      <c r="D10" s="522">
        <v>51055000</v>
      </c>
      <c r="E10" s="522">
        <f t="shared" si="0"/>
        <v>143259196</v>
      </c>
      <c r="F10" s="522">
        <v>53500421</v>
      </c>
      <c r="G10" s="523">
        <f t="shared" si="1"/>
        <v>-89758775</v>
      </c>
      <c r="H10" s="522">
        <v>88389504</v>
      </c>
    </row>
    <row r="11" spans="1:8" ht="44.25" customHeight="1">
      <c r="A11" s="588" t="s">
        <v>199</v>
      </c>
      <c r="B11" s="526">
        <v>0</v>
      </c>
      <c r="C11" s="526">
        <v>1306000</v>
      </c>
      <c r="D11" s="526"/>
      <c r="E11" s="526">
        <f t="shared" si="0"/>
        <v>1306000</v>
      </c>
      <c r="F11" s="526">
        <v>1285865</v>
      </c>
      <c r="G11" s="527">
        <f t="shared" si="1"/>
        <v>-20135</v>
      </c>
      <c r="H11" s="526"/>
    </row>
    <row r="12" spans="1:8" ht="44.25" customHeight="1">
      <c r="A12" s="588" t="s">
        <v>193</v>
      </c>
      <c r="B12" s="526">
        <v>545077181</v>
      </c>
      <c r="C12" s="526">
        <v>791162000</v>
      </c>
      <c r="D12" s="526">
        <v>0</v>
      </c>
      <c r="E12" s="526">
        <f t="shared" si="0"/>
        <v>1336239181</v>
      </c>
      <c r="F12" s="526">
        <v>321179209</v>
      </c>
      <c r="G12" s="527">
        <f t="shared" si="1"/>
        <v>-1015059972</v>
      </c>
      <c r="H12" s="526">
        <v>950973784</v>
      </c>
    </row>
    <row r="13" spans="1:8" ht="38.25" customHeight="1">
      <c r="A13" s="525"/>
      <c r="B13" s="527"/>
      <c r="C13" s="527"/>
      <c r="D13" s="527"/>
      <c r="E13" s="527"/>
      <c r="F13" s="527"/>
      <c r="G13" s="527"/>
      <c r="H13" s="527"/>
    </row>
    <row r="14" spans="1:8" ht="38.25" customHeight="1">
      <c r="A14" s="525"/>
      <c r="B14" s="527"/>
      <c r="C14" s="527"/>
      <c r="D14" s="527"/>
      <c r="E14" s="527"/>
      <c r="F14" s="527"/>
      <c r="G14" s="527"/>
      <c r="H14" s="527"/>
    </row>
    <row r="15" spans="1:8" ht="38.25" customHeight="1">
      <c r="A15" s="525"/>
      <c r="B15" s="527"/>
      <c r="C15" s="527"/>
      <c r="D15" s="527"/>
      <c r="E15" s="527"/>
      <c r="F15" s="527"/>
      <c r="G15" s="527"/>
      <c r="H15" s="527"/>
    </row>
    <row r="16" spans="1:8" ht="38.25" customHeight="1">
      <c r="A16" s="525"/>
      <c r="B16" s="527"/>
      <c r="C16" s="527"/>
      <c r="D16" s="527"/>
      <c r="E16" s="527"/>
      <c r="F16" s="527"/>
      <c r="G16" s="527"/>
      <c r="H16" s="527"/>
    </row>
    <row r="17" spans="1:8" ht="38.25" customHeight="1">
      <c r="A17" s="525"/>
      <c r="B17" s="527"/>
      <c r="C17" s="527"/>
      <c r="D17" s="527"/>
      <c r="E17" s="527"/>
      <c r="F17" s="527"/>
      <c r="G17" s="527"/>
      <c r="H17" s="527"/>
    </row>
    <row r="18" spans="1:8" ht="38.25" customHeight="1">
      <c r="A18" s="525"/>
      <c r="B18" s="527"/>
      <c r="C18" s="527"/>
      <c r="D18" s="527"/>
      <c r="E18" s="527"/>
      <c r="F18" s="527"/>
      <c r="G18" s="527"/>
      <c r="H18" s="527"/>
    </row>
    <row r="19" spans="1:8" ht="38.25" customHeight="1">
      <c r="A19" s="525"/>
      <c r="B19" s="527"/>
      <c r="C19" s="527"/>
      <c r="D19" s="527"/>
      <c r="E19" s="527"/>
      <c r="F19" s="527"/>
      <c r="G19" s="527"/>
      <c r="H19" s="527"/>
    </row>
    <row r="20" spans="1:8" ht="45.75" customHeight="1">
      <c r="A20" s="528" t="s">
        <v>75</v>
      </c>
      <c r="B20" s="529">
        <f aca="true" t="shared" si="2" ref="B20:H20">SUM(B7:B19)</f>
        <v>1197926218</v>
      </c>
      <c r="C20" s="529">
        <f t="shared" si="2"/>
        <v>1864883000</v>
      </c>
      <c r="D20" s="529">
        <f t="shared" si="2"/>
        <v>160314540</v>
      </c>
      <c r="E20" s="529">
        <f t="shared" si="2"/>
        <v>3223123758</v>
      </c>
      <c r="F20" s="529">
        <f t="shared" si="2"/>
        <v>1048748488</v>
      </c>
      <c r="G20" s="529">
        <f t="shared" si="2"/>
        <v>-2174375270</v>
      </c>
      <c r="H20" s="530">
        <f t="shared" si="2"/>
        <v>1896070518</v>
      </c>
    </row>
    <row r="21" spans="1:6" ht="24" customHeight="1">
      <c r="A21" s="531" t="s">
        <v>254</v>
      </c>
      <c r="B21" s="442"/>
      <c r="C21" s="442"/>
      <c r="D21" s="442"/>
      <c r="E21" s="442"/>
      <c r="F21" s="442"/>
    </row>
    <row r="25" spans="1:8" ht="16.5">
      <c r="A25" s="53" t="s">
        <v>402</v>
      </c>
      <c r="B25" s="532">
        <v>580981295</v>
      </c>
      <c r="C25" s="532">
        <v>1010850000</v>
      </c>
      <c r="D25" s="532">
        <v>106270000</v>
      </c>
      <c r="E25" s="532">
        <f>SUM(B25:D25)</f>
        <v>1698101295</v>
      </c>
      <c r="F25" s="532">
        <v>638546518</v>
      </c>
      <c r="G25" s="532"/>
      <c r="H25" s="532">
        <v>849285502</v>
      </c>
    </row>
    <row r="26" spans="1:8" ht="16.5">
      <c r="A26" s="53" t="s">
        <v>403</v>
      </c>
      <c r="B26" s="532">
        <v>0</v>
      </c>
      <c r="C26" s="532">
        <v>395000</v>
      </c>
      <c r="D26" s="532">
        <v>0</v>
      </c>
      <c r="E26" s="532">
        <f>SUM(B26:D26)</f>
        <v>395000</v>
      </c>
      <c r="F26" s="532">
        <v>130434</v>
      </c>
      <c r="G26" s="532"/>
      <c r="H26" s="532">
        <v>0</v>
      </c>
    </row>
  </sheetData>
  <sheetProtection/>
  <mergeCells count="12">
    <mergeCell ref="F4:F6"/>
    <mergeCell ref="G4:G6"/>
    <mergeCell ref="H4:H6"/>
    <mergeCell ref="E5:E6"/>
    <mergeCell ref="A1:H1"/>
    <mergeCell ref="A2:H2"/>
    <mergeCell ref="B5:B6"/>
    <mergeCell ref="C5:C6"/>
    <mergeCell ref="D5:D6"/>
    <mergeCell ref="C3:F3"/>
    <mergeCell ref="A4:A6"/>
    <mergeCell ref="B4:E4"/>
  </mergeCells>
  <printOptions horizontalCentered="1" verticalCentered="1"/>
  <pageMargins left="0.1968503937007874" right="0.1968503937007874" top="0.5905511811023623" bottom="0.5905511811023623" header="0" footer="0.31496062992125984"/>
  <pageSetup firstPageNumber="68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00390625" defaultRowHeight="16.5"/>
  <sheetData/>
  <sheetProtection/>
  <printOptions horizontalCentered="1" verticalCentered="1"/>
  <pageMargins left="0.7480314960629921" right="0.5511811023622047" top="0.5905511811023623" bottom="0.5905511811023623" header="0" footer="0.31496062992125984"/>
  <pageSetup firstPageNumber="69" useFirstPageNumber="1" horizontalDpi="600" verticalDpi="600" orientation="portrait" paperSize="9" r:id="rId1"/>
  <headerFooter alignWithMargins="0">
    <oddFooter xml:space="preserve">&amp;C&amp;"標楷體,標準" &amp;"新細明體,標準"&amp;P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N12" sqref="N12"/>
    </sheetView>
  </sheetViews>
  <sheetFormatPr defaultColWidth="9.00390625" defaultRowHeight="16.5"/>
  <cols>
    <col min="1" max="1" width="13.25390625" style="53" customWidth="1"/>
    <col min="2" max="10" width="7.375" style="53" customWidth="1"/>
    <col min="11" max="11" width="8.00390625" style="53" customWidth="1"/>
    <col min="12" max="12" width="11.50390625" style="53" customWidth="1"/>
    <col min="13" max="13" width="8.875" style="53" customWidth="1"/>
    <col min="14" max="14" width="10.75390625" style="53" customWidth="1"/>
    <col min="15" max="17" width="7.875" style="53" customWidth="1"/>
    <col min="18" max="18" width="8.875" style="53" customWidth="1"/>
    <col min="19" max="19" width="12.50390625" style="53" customWidth="1"/>
    <col min="20" max="16384" width="9.00390625" style="53" customWidth="1"/>
  </cols>
  <sheetData>
    <row r="1" spans="1:12" ht="26.25" customHeight="1">
      <c r="A1" s="533"/>
      <c r="H1" s="534"/>
      <c r="I1" s="703" t="s">
        <v>446</v>
      </c>
      <c r="J1" s="704"/>
      <c r="K1" s="404" t="s">
        <v>442</v>
      </c>
      <c r="L1" s="403"/>
    </row>
    <row r="2" spans="1:12" ht="26.25" customHeight="1">
      <c r="A2" s="535" t="s">
        <v>139</v>
      </c>
      <c r="H2" s="707" t="s">
        <v>452</v>
      </c>
      <c r="I2" s="704"/>
      <c r="J2" s="704"/>
      <c r="K2" s="399" t="s">
        <v>138</v>
      </c>
      <c r="L2" s="403"/>
    </row>
    <row r="3" spans="1:19" ht="26.25" customHeight="1">
      <c r="A3" s="481"/>
      <c r="H3" s="709" t="s">
        <v>517</v>
      </c>
      <c r="I3" s="682"/>
      <c r="J3" s="682"/>
      <c r="K3" s="407" t="s">
        <v>573</v>
      </c>
      <c r="Q3" s="681" t="s">
        <v>127</v>
      </c>
      <c r="R3" s="681"/>
      <c r="S3" s="681"/>
    </row>
    <row r="4" spans="1:19" ht="16.5" customHeight="1">
      <c r="A4" s="720" t="s">
        <v>476</v>
      </c>
      <c r="B4" s="720" t="s">
        <v>477</v>
      </c>
      <c r="C4" s="736" t="s">
        <v>478</v>
      </c>
      <c r="D4" s="737"/>
      <c r="E4" s="737"/>
      <c r="F4" s="737"/>
      <c r="G4" s="737"/>
      <c r="H4" s="737"/>
      <c r="I4" s="737"/>
      <c r="J4" s="738"/>
      <c r="K4" s="736" t="s">
        <v>479</v>
      </c>
      <c r="L4" s="737"/>
      <c r="M4" s="737"/>
      <c r="N4" s="737"/>
      <c r="O4" s="737"/>
      <c r="P4" s="737"/>
      <c r="Q4" s="737"/>
      <c r="R4" s="737"/>
      <c r="S4" s="738"/>
    </row>
    <row r="5" spans="1:19" ht="16.5">
      <c r="A5" s="720"/>
      <c r="B5" s="720"/>
      <c r="C5" s="720" t="s">
        <v>96</v>
      </c>
      <c r="D5" s="720"/>
      <c r="E5" s="720"/>
      <c r="F5" s="720"/>
      <c r="G5" s="720"/>
      <c r="H5" s="720"/>
      <c r="I5" s="720"/>
      <c r="J5" s="720"/>
      <c r="K5" s="720" t="s">
        <v>74</v>
      </c>
      <c r="L5" s="720"/>
      <c r="M5" s="720"/>
      <c r="N5" s="720"/>
      <c r="O5" s="720"/>
      <c r="P5" s="720"/>
      <c r="Q5" s="720"/>
      <c r="R5" s="720"/>
      <c r="S5" s="720" t="s">
        <v>128</v>
      </c>
    </row>
    <row r="6" spans="1:19" ht="16.5">
      <c r="A6" s="720"/>
      <c r="B6" s="720"/>
      <c r="C6" s="720" t="s">
        <v>129</v>
      </c>
      <c r="D6" s="720"/>
      <c r="E6" s="720"/>
      <c r="F6" s="720"/>
      <c r="G6" s="720" t="s">
        <v>130</v>
      </c>
      <c r="H6" s="720"/>
      <c r="I6" s="720"/>
      <c r="J6" s="713" t="s">
        <v>75</v>
      </c>
      <c r="K6" s="720" t="s">
        <v>129</v>
      </c>
      <c r="L6" s="720"/>
      <c r="M6" s="720"/>
      <c r="N6" s="720"/>
      <c r="O6" s="720" t="s">
        <v>130</v>
      </c>
      <c r="P6" s="720"/>
      <c r="Q6" s="720"/>
      <c r="R6" s="713" t="s">
        <v>75</v>
      </c>
      <c r="S6" s="720"/>
    </row>
    <row r="7" spans="1:19" ht="18">
      <c r="A7" s="720"/>
      <c r="B7" s="720"/>
      <c r="C7" s="733" t="s">
        <v>131</v>
      </c>
      <c r="D7" s="536" t="s">
        <v>132</v>
      </c>
      <c r="E7" s="537" t="s">
        <v>134</v>
      </c>
      <c r="F7" s="734" t="s">
        <v>136</v>
      </c>
      <c r="G7" s="733" t="s">
        <v>131</v>
      </c>
      <c r="H7" s="735" t="s">
        <v>137</v>
      </c>
      <c r="I7" s="734" t="s">
        <v>136</v>
      </c>
      <c r="J7" s="714"/>
      <c r="K7" s="733" t="s">
        <v>131</v>
      </c>
      <c r="L7" s="536" t="s">
        <v>132</v>
      </c>
      <c r="M7" s="537" t="s">
        <v>134</v>
      </c>
      <c r="N7" s="734" t="s">
        <v>136</v>
      </c>
      <c r="O7" s="733" t="s">
        <v>131</v>
      </c>
      <c r="P7" s="735" t="s">
        <v>137</v>
      </c>
      <c r="Q7" s="734" t="s">
        <v>136</v>
      </c>
      <c r="R7" s="714"/>
      <c r="S7" s="720"/>
    </row>
    <row r="8" spans="1:19" ht="21">
      <c r="A8" s="720"/>
      <c r="B8" s="720"/>
      <c r="C8" s="733"/>
      <c r="D8" s="536" t="s">
        <v>133</v>
      </c>
      <c r="E8" s="538" t="s">
        <v>135</v>
      </c>
      <c r="F8" s="734"/>
      <c r="G8" s="733"/>
      <c r="H8" s="735"/>
      <c r="I8" s="734"/>
      <c r="J8" s="715"/>
      <c r="K8" s="733"/>
      <c r="L8" s="536" t="s">
        <v>133</v>
      </c>
      <c r="M8" s="538" t="s">
        <v>135</v>
      </c>
      <c r="N8" s="734"/>
      <c r="O8" s="733"/>
      <c r="P8" s="735"/>
      <c r="Q8" s="734"/>
      <c r="R8" s="715"/>
      <c r="S8" s="720"/>
    </row>
    <row r="9" spans="1:19" ht="49.5" customHeight="1">
      <c r="A9" s="458" t="s">
        <v>186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</row>
    <row r="10" spans="1:19" ht="49.5" customHeight="1">
      <c r="A10" s="458" t="s">
        <v>187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49.5" customHeight="1">
      <c r="A11" s="458" t="s">
        <v>189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49.5" customHeight="1">
      <c r="A12" s="458" t="s">
        <v>200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49.5" customHeight="1">
      <c r="A13" s="458" t="s">
        <v>199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</row>
    <row r="14" spans="1:19" ht="93.75" customHeight="1">
      <c r="A14" s="525" t="s">
        <v>193</v>
      </c>
      <c r="B14" s="540" t="s">
        <v>603</v>
      </c>
      <c r="C14" s="143"/>
      <c r="D14" s="143">
        <v>0</v>
      </c>
      <c r="E14" s="143"/>
      <c r="F14" s="143"/>
      <c r="G14" s="143"/>
      <c r="H14" s="143"/>
      <c r="I14" s="143"/>
      <c r="J14" s="143"/>
      <c r="K14" s="143"/>
      <c r="L14" s="541">
        <v>930243000</v>
      </c>
      <c r="M14" s="541"/>
      <c r="N14" s="541">
        <f>SUM(K10:M14)</f>
        <v>930243000</v>
      </c>
      <c r="O14" s="541"/>
      <c r="P14" s="541"/>
      <c r="Q14" s="541"/>
      <c r="R14" s="541"/>
      <c r="S14" s="541">
        <f>J14-N14</f>
        <v>-930243000</v>
      </c>
    </row>
    <row r="15" spans="1:19" ht="49.5" customHeight="1">
      <c r="A15" s="458"/>
      <c r="B15" s="148"/>
      <c r="C15" s="542"/>
      <c r="D15" s="543"/>
      <c r="E15" s="544"/>
      <c r="F15" s="544"/>
      <c r="G15" s="542"/>
      <c r="H15" s="543"/>
      <c r="I15" s="544"/>
      <c r="J15" s="458"/>
      <c r="K15" s="542"/>
      <c r="L15" s="543"/>
      <c r="M15" s="544"/>
      <c r="N15" s="544"/>
      <c r="O15" s="542"/>
      <c r="P15" s="543"/>
      <c r="Q15" s="544"/>
      <c r="R15" s="458"/>
      <c r="S15" s="148"/>
    </row>
    <row r="16" spans="1:19" ht="24.75" customHeight="1">
      <c r="A16" s="148"/>
      <c r="B16" s="148"/>
      <c r="C16" s="542"/>
      <c r="D16" s="543"/>
      <c r="E16" s="544"/>
      <c r="F16" s="544"/>
      <c r="G16" s="542"/>
      <c r="H16" s="543"/>
      <c r="I16" s="544"/>
      <c r="J16" s="458"/>
      <c r="K16" s="542"/>
      <c r="L16" s="543"/>
      <c r="M16" s="544"/>
      <c r="N16" s="544"/>
      <c r="O16" s="542"/>
      <c r="P16" s="543"/>
      <c r="Q16" s="544"/>
      <c r="R16" s="458"/>
      <c r="S16" s="148"/>
    </row>
    <row r="17" spans="1:19" ht="24.75" customHeight="1">
      <c r="A17" s="148"/>
      <c r="B17" s="148"/>
      <c r="C17" s="542"/>
      <c r="D17" s="543"/>
      <c r="E17" s="544"/>
      <c r="F17" s="544"/>
      <c r="G17" s="542"/>
      <c r="H17" s="543"/>
      <c r="I17" s="544"/>
      <c r="J17" s="458"/>
      <c r="K17" s="542"/>
      <c r="L17" s="543"/>
      <c r="M17" s="544"/>
      <c r="N17" s="544"/>
      <c r="O17" s="542"/>
      <c r="P17" s="543"/>
      <c r="Q17" s="544"/>
      <c r="R17" s="458"/>
      <c r="S17" s="148"/>
    </row>
    <row r="18" spans="1:19" ht="24.75" customHeight="1">
      <c r="A18" s="148"/>
      <c r="B18" s="148"/>
      <c r="C18" s="542"/>
      <c r="D18" s="543"/>
      <c r="E18" s="544"/>
      <c r="F18" s="544"/>
      <c r="G18" s="542"/>
      <c r="H18" s="543"/>
      <c r="I18" s="544"/>
      <c r="J18" s="458"/>
      <c r="K18" s="542"/>
      <c r="L18" s="543"/>
      <c r="M18" s="544"/>
      <c r="N18" s="544"/>
      <c r="O18" s="542"/>
      <c r="P18" s="543"/>
      <c r="Q18" s="544"/>
      <c r="R18" s="458"/>
      <c r="S18" s="148"/>
    </row>
    <row r="19" spans="1:19" ht="24.75" customHeight="1">
      <c r="A19" s="148"/>
      <c r="B19" s="148"/>
      <c r="C19" s="542"/>
      <c r="D19" s="543"/>
      <c r="E19" s="544"/>
      <c r="F19" s="544"/>
      <c r="G19" s="542"/>
      <c r="H19" s="543"/>
      <c r="I19" s="544"/>
      <c r="J19" s="458"/>
      <c r="K19" s="542"/>
      <c r="L19" s="543"/>
      <c r="M19" s="544"/>
      <c r="N19" s="544"/>
      <c r="O19" s="542"/>
      <c r="P19" s="543"/>
      <c r="Q19" s="544"/>
      <c r="R19" s="458"/>
      <c r="S19" s="148"/>
    </row>
    <row r="20" spans="1:19" ht="24.75" customHeight="1">
      <c r="A20" s="148"/>
      <c r="B20" s="148"/>
      <c r="C20" s="542"/>
      <c r="D20" s="543"/>
      <c r="E20" s="544"/>
      <c r="F20" s="544"/>
      <c r="G20" s="542"/>
      <c r="H20" s="543"/>
      <c r="I20" s="544"/>
      <c r="J20" s="458"/>
      <c r="K20" s="542"/>
      <c r="L20" s="543"/>
      <c r="M20" s="544"/>
      <c r="N20" s="544"/>
      <c r="O20" s="542"/>
      <c r="P20" s="543"/>
      <c r="Q20" s="544"/>
      <c r="R20" s="458"/>
      <c r="S20" s="148"/>
    </row>
    <row r="21" spans="1:19" ht="24.75" customHeight="1">
      <c r="A21" s="148"/>
      <c r="B21" s="148"/>
      <c r="C21" s="542"/>
      <c r="D21" s="543"/>
      <c r="E21" s="544"/>
      <c r="F21" s="544"/>
      <c r="G21" s="542"/>
      <c r="H21" s="543"/>
      <c r="I21" s="544"/>
      <c r="J21" s="458"/>
      <c r="K21" s="542"/>
      <c r="L21" s="543"/>
      <c r="M21" s="544"/>
      <c r="N21" s="544"/>
      <c r="O21" s="542"/>
      <c r="P21" s="543"/>
      <c r="Q21" s="544"/>
      <c r="R21" s="458"/>
      <c r="S21" s="148"/>
    </row>
    <row r="22" spans="1:19" ht="14.25" customHeight="1">
      <c r="A22" s="148"/>
      <c r="B22" s="148"/>
      <c r="C22" s="542"/>
      <c r="D22" s="543"/>
      <c r="E22" s="544"/>
      <c r="F22" s="544"/>
      <c r="G22" s="542"/>
      <c r="H22" s="543"/>
      <c r="I22" s="544"/>
      <c r="J22" s="458"/>
      <c r="K22" s="542"/>
      <c r="L22" s="543"/>
      <c r="M22" s="544"/>
      <c r="N22" s="544"/>
      <c r="O22" s="542"/>
      <c r="P22" s="543"/>
      <c r="Q22" s="544"/>
      <c r="R22" s="458"/>
      <c r="S22" s="148"/>
    </row>
    <row r="23" spans="1:19" ht="24.75" customHeight="1">
      <c r="A23" s="148"/>
      <c r="B23" s="148"/>
      <c r="C23" s="542"/>
      <c r="D23" s="543"/>
      <c r="E23" s="544"/>
      <c r="F23" s="544"/>
      <c r="G23" s="542"/>
      <c r="H23" s="543"/>
      <c r="I23" s="544"/>
      <c r="J23" s="458"/>
      <c r="K23" s="542"/>
      <c r="L23" s="543"/>
      <c r="M23" s="544"/>
      <c r="N23" s="544"/>
      <c r="O23" s="542"/>
      <c r="P23" s="543"/>
      <c r="Q23" s="544"/>
      <c r="R23" s="458"/>
      <c r="S23" s="148"/>
    </row>
    <row r="24" spans="1:19" ht="24.75" customHeight="1">
      <c r="A24" s="545" t="s">
        <v>75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</row>
    <row r="25" ht="16.5">
      <c r="A25" s="53" t="s">
        <v>602</v>
      </c>
    </row>
    <row r="26" ht="16.5">
      <c r="D26" s="547"/>
    </row>
  </sheetData>
  <sheetProtection/>
  <mergeCells count="27">
    <mergeCell ref="H7:H8"/>
    <mergeCell ref="C4:J4"/>
    <mergeCell ref="K4:S4"/>
    <mergeCell ref="I1:J1"/>
    <mergeCell ref="H2:J2"/>
    <mergeCell ref="H3:J3"/>
    <mergeCell ref="Q3:S3"/>
    <mergeCell ref="S5:S8"/>
    <mergeCell ref="C6:F6"/>
    <mergeCell ref="G6:I6"/>
    <mergeCell ref="A4:A8"/>
    <mergeCell ref="B4:B8"/>
    <mergeCell ref="C5:J5"/>
    <mergeCell ref="K5:R5"/>
    <mergeCell ref="C7:C8"/>
    <mergeCell ref="F7:F8"/>
    <mergeCell ref="G7:G8"/>
    <mergeCell ref="J6:J8"/>
    <mergeCell ref="K6:N6"/>
    <mergeCell ref="P7:P8"/>
    <mergeCell ref="R6:R8"/>
    <mergeCell ref="O7:O8"/>
    <mergeCell ref="I7:I8"/>
    <mergeCell ref="K7:K8"/>
    <mergeCell ref="N7:N8"/>
    <mergeCell ref="Q7:Q8"/>
    <mergeCell ref="O6:Q6"/>
  </mergeCells>
  <printOptions horizontalCentered="1" verticalCentered="1"/>
  <pageMargins left="0.7874015748031497" right="0.7874015748031497" top="0.5905511811023623" bottom="0.5905511811023623" header="0" footer="0.31496062992125984"/>
  <pageSetup firstPageNumber="70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6" sqref="P16"/>
    </sheetView>
  </sheetViews>
  <sheetFormatPr defaultColWidth="9.00390625" defaultRowHeight="16.5"/>
  <cols>
    <col min="1" max="1" width="15.00390625" style="1" customWidth="1"/>
    <col min="2" max="7" width="11.625" style="1" customWidth="1"/>
    <col min="8" max="16" width="10.625" style="1" customWidth="1"/>
    <col min="17" max="17" width="12.50390625" style="1" bestFit="1" customWidth="1"/>
    <col min="18" max="16384" width="9.00390625" style="1" customWidth="1"/>
  </cols>
  <sheetData>
    <row r="1" spans="1:7" ht="26.25" customHeight="1">
      <c r="A1" s="696" t="s">
        <v>86</v>
      </c>
      <c r="B1" s="696"/>
      <c r="C1" s="696"/>
      <c r="D1" s="696"/>
      <c r="E1" s="696"/>
      <c r="F1" s="696"/>
      <c r="G1" s="696"/>
    </row>
    <row r="2" spans="1:7" ht="26.25" customHeight="1">
      <c r="A2" s="699" t="s">
        <v>140</v>
      </c>
      <c r="B2" s="699"/>
      <c r="C2" s="699"/>
      <c r="D2" s="699"/>
      <c r="E2" s="699"/>
      <c r="F2" s="699"/>
      <c r="G2" s="699"/>
    </row>
    <row r="3" spans="1:7" ht="26.25" customHeight="1">
      <c r="A3" s="663" t="s">
        <v>572</v>
      </c>
      <c r="B3" s="663"/>
      <c r="C3" s="663"/>
      <c r="D3" s="663"/>
      <c r="E3" s="663"/>
      <c r="F3" s="663"/>
      <c r="G3" s="663"/>
    </row>
    <row r="4" spans="1:7" ht="33" customHeight="1">
      <c r="A4" s="713" t="s">
        <v>476</v>
      </c>
      <c r="B4" s="741" t="s">
        <v>141</v>
      </c>
      <c r="C4" s="741"/>
      <c r="D4" s="741" t="s">
        <v>512</v>
      </c>
      <c r="E4" s="741"/>
      <c r="F4" s="741" t="s">
        <v>513</v>
      </c>
      <c r="G4" s="741"/>
    </row>
    <row r="5" spans="1:7" ht="16.5" customHeight="1">
      <c r="A5" s="714"/>
      <c r="B5" s="739" t="s">
        <v>142</v>
      </c>
      <c r="C5" s="739"/>
      <c r="D5" s="739" t="s">
        <v>144</v>
      </c>
      <c r="E5" s="739"/>
      <c r="F5" s="739" t="s">
        <v>146</v>
      </c>
      <c r="G5" s="739"/>
    </row>
    <row r="6" spans="1:8" ht="16.5">
      <c r="A6" s="714"/>
      <c r="B6" s="740" t="s">
        <v>143</v>
      </c>
      <c r="C6" s="740"/>
      <c r="D6" s="740" t="s">
        <v>145</v>
      </c>
      <c r="E6" s="740"/>
      <c r="F6" s="740" t="s">
        <v>142</v>
      </c>
      <c r="G6" s="740"/>
      <c r="H6" s="1" t="s">
        <v>404</v>
      </c>
    </row>
    <row r="7" spans="1:17" ht="16.5">
      <c r="A7" s="715"/>
      <c r="B7" s="548" t="s">
        <v>77</v>
      </c>
      <c r="C7" s="548" t="s">
        <v>147</v>
      </c>
      <c r="D7" s="548" t="s">
        <v>77</v>
      </c>
      <c r="E7" s="548" t="s">
        <v>147</v>
      </c>
      <c r="F7" s="548" t="s">
        <v>77</v>
      </c>
      <c r="G7" s="549" t="s">
        <v>147</v>
      </c>
      <c r="H7" s="51" t="s">
        <v>577</v>
      </c>
      <c r="I7" s="51" t="s">
        <v>550</v>
      </c>
      <c r="J7" s="51" t="s">
        <v>551</v>
      </c>
      <c r="K7" s="51" t="s">
        <v>578</v>
      </c>
      <c r="L7" s="51" t="s">
        <v>579</v>
      </c>
      <c r="M7" s="54" t="s">
        <v>580</v>
      </c>
      <c r="N7" s="54" t="s">
        <v>581</v>
      </c>
      <c r="O7" s="54" t="s">
        <v>582</v>
      </c>
      <c r="P7" s="54" t="s">
        <v>583</v>
      </c>
      <c r="Q7" s="54" t="s">
        <v>584</v>
      </c>
    </row>
    <row r="8" spans="1:17" ht="49.5" customHeight="1">
      <c r="A8" s="458" t="s">
        <v>186</v>
      </c>
      <c r="B8" s="550">
        <f aca="true" t="shared" si="0" ref="B8:B13">K8/H8*100</f>
        <v>79.52853568079125</v>
      </c>
      <c r="C8" s="550">
        <f aca="true" t="shared" si="1" ref="C8:C13">P8/M8*100</f>
        <v>76.86968911645434</v>
      </c>
      <c r="D8" s="550">
        <f aca="true" t="shared" si="2" ref="D8:D13">K8/L8*100</f>
        <v>95.900122060074</v>
      </c>
      <c r="E8" s="550">
        <f aca="true" t="shared" si="3" ref="E8:E13">P8/Q8*100</f>
        <v>96.59353711104376</v>
      </c>
      <c r="F8" s="550">
        <f aca="true" t="shared" si="4" ref="F8:F13">J8/K8*100</f>
        <v>25.74103011449422</v>
      </c>
      <c r="G8" s="550">
        <f aca="true" t="shared" si="5" ref="G8:G13">O8/P8*100</f>
        <v>30.090288056849307</v>
      </c>
      <c r="H8" s="72">
        <v>11565707558</v>
      </c>
      <c r="I8" s="72">
        <f>'[2]資產機關'!$D$37</f>
        <v>393230287</v>
      </c>
      <c r="J8" s="72">
        <v>2367669696</v>
      </c>
      <c r="K8" s="72">
        <v>9198037862</v>
      </c>
      <c r="L8" s="72">
        <f aca="true" t="shared" si="6" ref="L8:L13">I8+K8</f>
        <v>9591268149</v>
      </c>
      <c r="M8" s="52">
        <f>'資產機關'!$D$7</f>
        <v>13001243702</v>
      </c>
      <c r="N8" s="52">
        <f>'資產機關'!$D$37</f>
        <v>352448459</v>
      </c>
      <c r="O8" s="52">
        <f>'資產機關'!$D$32</f>
        <v>3007228087</v>
      </c>
      <c r="P8" s="52">
        <f>'資產機關'!$D$43</f>
        <v>9994015615</v>
      </c>
      <c r="Q8" s="52">
        <f aca="true" t="shared" si="7" ref="Q8:Q13">N8+P8</f>
        <v>10346464074</v>
      </c>
    </row>
    <row r="9" spans="1:17" ht="49.5" customHeight="1">
      <c r="A9" s="458" t="s">
        <v>187</v>
      </c>
      <c r="B9" s="551">
        <f t="shared" si="0"/>
        <v>76.21067792243227</v>
      </c>
      <c r="C9" s="551">
        <f t="shared" si="1"/>
        <v>73.61687627984223</v>
      </c>
      <c r="D9" s="551">
        <f t="shared" si="2"/>
        <v>88.02027668416264</v>
      </c>
      <c r="E9" s="551">
        <f t="shared" si="3"/>
        <v>87.18755343888171</v>
      </c>
      <c r="F9" s="551">
        <f t="shared" si="4"/>
        <v>31.21520858504979</v>
      </c>
      <c r="G9" s="551">
        <f t="shared" si="5"/>
        <v>35.83841783759845</v>
      </c>
      <c r="H9" s="72">
        <v>429897841</v>
      </c>
      <c r="I9" s="72">
        <v>44590788</v>
      </c>
      <c r="J9" s="72">
        <v>102269782</v>
      </c>
      <c r="K9" s="72">
        <v>327628059</v>
      </c>
      <c r="L9" s="72">
        <f t="shared" si="6"/>
        <v>372218847</v>
      </c>
      <c r="M9" s="52">
        <f>'資產機關'!$F$7</f>
        <v>367406612</v>
      </c>
      <c r="N9" s="52">
        <f>'資產機關'!$F$37</f>
        <v>39746778</v>
      </c>
      <c r="O9" s="52">
        <f>'資產機關'!$F$32</f>
        <v>96933341</v>
      </c>
      <c r="P9" s="52">
        <f>'資產機關'!$F$43</f>
        <v>270473271</v>
      </c>
      <c r="Q9" s="52">
        <f t="shared" si="7"/>
        <v>310220049</v>
      </c>
    </row>
    <row r="10" spans="1:17" ht="49.5" customHeight="1">
      <c r="A10" s="458" t="s">
        <v>189</v>
      </c>
      <c r="B10" s="551">
        <f t="shared" si="0"/>
        <v>79.77337672137098</v>
      </c>
      <c r="C10" s="551">
        <f t="shared" si="1"/>
        <v>76.21920287228859</v>
      </c>
      <c r="D10" s="551">
        <f t="shared" si="2"/>
        <v>87.4754840322139</v>
      </c>
      <c r="E10" s="551">
        <f t="shared" si="3"/>
        <v>85.2957920624269</v>
      </c>
      <c r="F10" s="551">
        <f t="shared" si="4"/>
        <v>25.355104810563176</v>
      </c>
      <c r="G10" s="551">
        <f t="shared" si="5"/>
        <v>31.200532453164133</v>
      </c>
      <c r="H10" s="72">
        <v>166515021</v>
      </c>
      <c r="I10" s="72">
        <v>19018926</v>
      </c>
      <c r="J10" s="72">
        <v>33680366</v>
      </c>
      <c r="K10" s="72">
        <v>132834655</v>
      </c>
      <c r="L10" s="72">
        <f t="shared" si="6"/>
        <v>151853581</v>
      </c>
      <c r="M10" s="52">
        <f>'資產機關'!$H$7</f>
        <v>168452154</v>
      </c>
      <c r="N10" s="52">
        <f>'資產機關'!$H$37</f>
        <v>22133750</v>
      </c>
      <c r="O10" s="52">
        <f>'資產機關'!$H$32</f>
        <v>40059265</v>
      </c>
      <c r="P10" s="52">
        <f>'資產機關'!$H$43</f>
        <v>128392889</v>
      </c>
      <c r="Q10" s="52">
        <f t="shared" si="7"/>
        <v>150526639</v>
      </c>
    </row>
    <row r="11" spans="1:17" ht="49.5" customHeight="1">
      <c r="A11" s="458" t="s">
        <v>200</v>
      </c>
      <c r="B11" s="551">
        <f t="shared" si="0"/>
        <v>61.52582085018289</v>
      </c>
      <c r="C11" s="551">
        <f t="shared" si="1"/>
        <v>70.49651494229775</v>
      </c>
      <c r="D11" s="551">
        <f t="shared" si="2"/>
        <v>84.44409037018181</v>
      </c>
      <c r="E11" s="551">
        <f t="shared" si="3"/>
        <v>96.45011240149121</v>
      </c>
      <c r="F11" s="551">
        <f t="shared" si="4"/>
        <v>62.53338617537965</v>
      </c>
      <c r="G11" s="551">
        <f t="shared" si="5"/>
        <v>41.850983813669664</v>
      </c>
      <c r="H11" s="72">
        <v>472969012</v>
      </c>
      <c r="I11" s="72">
        <v>53606352</v>
      </c>
      <c r="J11" s="72">
        <v>181970945</v>
      </c>
      <c r="K11" s="72">
        <v>290998067</v>
      </c>
      <c r="L11" s="72">
        <f t="shared" si="6"/>
        <v>344604419</v>
      </c>
      <c r="M11" s="52">
        <f>'資產機關'!$J$7</f>
        <v>446822444</v>
      </c>
      <c r="N11" s="52">
        <f>'資產機關'!$J$37</f>
        <v>11593498</v>
      </c>
      <c r="O11" s="52">
        <f>'資產機關'!$J$32</f>
        <v>131828193</v>
      </c>
      <c r="P11" s="52">
        <f>'資產機關'!$J$43</f>
        <v>314994251</v>
      </c>
      <c r="Q11" s="52">
        <f t="shared" si="7"/>
        <v>326587749</v>
      </c>
    </row>
    <row r="12" spans="1:17" ht="49.5" customHeight="1">
      <c r="A12" s="458" t="s">
        <v>199</v>
      </c>
      <c r="B12" s="551">
        <f t="shared" si="0"/>
        <v>58.70548804315754</v>
      </c>
      <c r="C12" s="551">
        <f t="shared" si="1"/>
        <v>57.83480903020022</v>
      </c>
      <c r="D12" s="551">
        <f t="shared" si="2"/>
        <v>89.8078702503199</v>
      </c>
      <c r="E12" s="551">
        <f t="shared" si="3"/>
        <v>86.27150702334163</v>
      </c>
      <c r="F12" s="551">
        <f t="shared" si="4"/>
        <v>70.34182549761728</v>
      </c>
      <c r="G12" s="551">
        <f t="shared" si="5"/>
        <v>72.90625088393034</v>
      </c>
      <c r="H12" s="72">
        <v>116633886</v>
      </c>
      <c r="I12" s="72">
        <v>7770590</v>
      </c>
      <c r="J12" s="72">
        <v>48163394</v>
      </c>
      <c r="K12" s="72">
        <v>68470492</v>
      </c>
      <c r="L12" s="72">
        <f t="shared" si="6"/>
        <v>76241082</v>
      </c>
      <c r="M12" s="52">
        <f>'資產機關'!$L$7</f>
        <v>118466742</v>
      </c>
      <c r="N12" s="52">
        <f>'資產機關'!$L$37</f>
        <v>10902880</v>
      </c>
      <c r="O12" s="52">
        <f>'資產機關'!$L$32</f>
        <v>49951728</v>
      </c>
      <c r="P12" s="52">
        <f>'資產機關'!$L$43</f>
        <v>68515014</v>
      </c>
      <c r="Q12" s="52">
        <f t="shared" si="7"/>
        <v>79417894</v>
      </c>
    </row>
    <row r="13" spans="1:17" ht="49.5" customHeight="1">
      <c r="A13" s="458" t="s">
        <v>193</v>
      </c>
      <c r="B13" s="551">
        <f t="shared" si="0"/>
        <v>29.25650630977943</v>
      </c>
      <c r="C13" s="551">
        <f t="shared" si="1"/>
        <v>27.30833379340483</v>
      </c>
      <c r="D13" s="551">
        <f t="shared" si="2"/>
        <v>99.555360635193</v>
      </c>
      <c r="E13" s="551">
        <f t="shared" si="3"/>
        <v>99.53651164222632</v>
      </c>
      <c r="F13" s="551">
        <f t="shared" si="4"/>
        <v>241.8043116329768</v>
      </c>
      <c r="G13" s="551">
        <f t="shared" si="5"/>
        <v>266.18858095308167</v>
      </c>
      <c r="H13" s="72">
        <v>4560061618</v>
      </c>
      <c r="I13" s="72">
        <v>5958493</v>
      </c>
      <c r="J13" s="72">
        <v>3225946903</v>
      </c>
      <c r="K13" s="72">
        <v>1334114715</v>
      </c>
      <c r="L13" s="71">
        <f t="shared" si="6"/>
        <v>1340073208</v>
      </c>
      <c r="M13" s="52">
        <f>'資產機關'!$N$7</f>
        <v>4685811539</v>
      </c>
      <c r="N13" s="52">
        <f>'資產機關'!$N$37</f>
        <v>5958493</v>
      </c>
      <c r="O13" s="52">
        <f>'資產機關'!$N$32</f>
        <v>3406194483</v>
      </c>
      <c r="P13" s="52">
        <v>1279617056</v>
      </c>
      <c r="Q13" s="52">
        <f t="shared" si="7"/>
        <v>1285575549</v>
      </c>
    </row>
    <row r="14" spans="1:17" ht="24.75" customHeight="1">
      <c r="A14" s="502"/>
      <c r="B14" s="502"/>
      <c r="C14" s="502"/>
      <c r="D14" s="502"/>
      <c r="E14" s="502"/>
      <c r="F14" s="502"/>
      <c r="G14" s="502"/>
      <c r="H14" s="59">
        <f aca="true" t="shared" si="8" ref="H14:Q14">SUM(H8:H13)</f>
        <v>17311784936</v>
      </c>
      <c r="I14" s="59">
        <f t="shared" si="8"/>
        <v>524175436</v>
      </c>
      <c r="J14" s="59">
        <f t="shared" si="8"/>
        <v>5959701086</v>
      </c>
      <c r="K14" s="59">
        <f t="shared" si="8"/>
        <v>11352083850</v>
      </c>
      <c r="L14" s="59">
        <f t="shared" si="8"/>
        <v>11876259286</v>
      </c>
      <c r="M14" s="59">
        <f t="shared" si="8"/>
        <v>18788203193</v>
      </c>
      <c r="N14" s="59">
        <f t="shared" si="8"/>
        <v>442783858</v>
      </c>
      <c r="O14" s="59">
        <f t="shared" si="8"/>
        <v>6732195097</v>
      </c>
      <c r="P14" s="59">
        <f t="shared" si="8"/>
        <v>12056008096</v>
      </c>
      <c r="Q14" s="59">
        <f t="shared" si="8"/>
        <v>12498791954</v>
      </c>
    </row>
    <row r="15" spans="1:17" ht="24.75" customHeight="1">
      <c r="A15" s="502"/>
      <c r="B15" s="502"/>
      <c r="C15" s="502"/>
      <c r="D15" s="502"/>
      <c r="E15" s="502"/>
      <c r="F15" s="502"/>
      <c r="G15" s="502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24.75" customHeight="1">
      <c r="A16" s="502"/>
      <c r="B16" s="502"/>
      <c r="C16" s="502"/>
      <c r="D16" s="502"/>
      <c r="E16" s="502"/>
      <c r="F16" s="502"/>
      <c r="G16" s="502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7" ht="24.75" customHeight="1">
      <c r="A17" s="502"/>
      <c r="B17" s="502"/>
      <c r="C17" s="502"/>
      <c r="D17" s="502"/>
      <c r="E17" s="502"/>
      <c r="F17" s="502"/>
      <c r="G17" s="502"/>
    </row>
    <row r="18" spans="1:7" ht="24.75" customHeight="1">
      <c r="A18" s="502"/>
      <c r="B18" s="502"/>
      <c r="C18" s="502"/>
      <c r="D18" s="502"/>
      <c r="E18" s="502"/>
      <c r="F18" s="502"/>
      <c r="G18" s="502"/>
    </row>
    <row r="19" spans="1:7" ht="24.75" customHeight="1">
      <c r="A19" s="502"/>
      <c r="B19" s="502"/>
      <c r="C19" s="502"/>
      <c r="D19" s="502"/>
      <c r="E19" s="502"/>
      <c r="F19" s="502"/>
      <c r="G19" s="502"/>
    </row>
    <row r="20" spans="1:7" ht="24.75" customHeight="1">
      <c r="A20" s="502"/>
      <c r="B20" s="502"/>
      <c r="C20" s="502"/>
      <c r="D20" s="502"/>
      <c r="E20" s="502"/>
      <c r="F20" s="502"/>
      <c r="G20" s="502"/>
    </row>
    <row r="21" spans="1:7" ht="24.75" customHeight="1">
      <c r="A21" s="502"/>
      <c r="B21" s="502"/>
      <c r="C21" s="502"/>
      <c r="D21" s="502"/>
      <c r="E21" s="502"/>
      <c r="F21" s="502"/>
      <c r="G21" s="502"/>
    </row>
    <row r="22" spans="1:7" ht="20.25" customHeight="1">
      <c r="A22" s="502"/>
      <c r="B22" s="502"/>
      <c r="C22" s="502"/>
      <c r="D22" s="502"/>
      <c r="E22" s="502"/>
      <c r="F22" s="502"/>
      <c r="G22" s="502"/>
    </row>
    <row r="23" spans="1:7" ht="21" customHeight="1">
      <c r="A23" s="502"/>
      <c r="B23" s="502"/>
      <c r="C23" s="502"/>
      <c r="D23" s="502"/>
      <c r="E23" s="502"/>
      <c r="F23" s="502"/>
      <c r="G23" s="502"/>
    </row>
    <row r="24" spans="1:7" ht="24.75" customHeight="1">
      <c r="A24" s="502"/>
      <c r="B24" s="502"/>
      <c r="C24" s="502"/>
      <c r="D24" s="502"/>
      <c r="E24" s="502"/>
      <c r="F24" s="502"/>
      <c r="G24" s="502"/>
    </row>
    <row r="25" spans="1:7" ht="21" customHeight="1">
      <c r="A25" s="552"/>
      <c r="B25" s="552"/>
      <c r="C25" s="552"/>
      <c r="D25" s="552"/>
      <c r="E25" s="552"/>
      <c r="F25" s="552"/>
      <c r="G25" s="552"/>
    </row>
  </sheetData>
  <sheetProtection/>
  <mergeCells count="13">
    <mergeCell ref="A1:G1"/>
    <mergeCell ref="A2:G2"/>
    <mergeCell ref="A3:G3"/>
    <mergeCell ref="A4:A7"/>
    <mergeCell ref="B4:C4"/>
    <mergeCell ref="D4:E4"/>
    <mergeCell ref="F4:G4"/>
    <mergeCell ref="B5:C5"/>
    <mergeCell ref="B6:C6"/>
    <mergeCell ref="D5:E5"/>
    <mergeCell ref="D6:E6"/>
    <mergeCell ref="F5:G5"/>
    <mergeCell ref="F6:G6"/>
  </mergeCells>
  <printOptions horizontalCentered="1" verticalCentered="1"/>
  <pageMargins left="0.7874015748031497" right="0.7874015748031497" top="0.5905511811023623" bottom="0.5905511811023623" header="0" footer="0.31496062992125984"/>
  <pageSetup firstPageNumber="72" useFirstPageNumber="1" horizontalDpi="600" verticalDpi="600" orientation="portrait" paperSize="9" r:id="rId1"/>
  <headerFooter alignWithMargins="0">
    <oddFooter>&amp;C&amp;P 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J13" sqref="J13"/>
    </sheetView>
  </sheetViews>
  <sheetFormatPr defaultColWidth="9.00390625" defaultRowHeight="16.5"/>
  <cols>
    <col min="1" max="1" width="13.25390625" style="1" customWidth="1"/>
    <col min="2" max="2" width="6.875" style="1" customWidth="1"/>
    <col min="3" max="3" width="7.50390625" style="1" customWidth="1"/>
    <col min="4" max="4" width="7.75390625" style="1" customWidth="1"/>
    <col min="5" max="5" width="6.875" style="1" customWidth="1"/>
    <col min="6" max="6" width="7.50390625" style="1" customWidth="1"/>
    <col min="7" max="7" width="8.00390625" style="1" customWidth="1"/>
    <col min="8" max="10" width="7.50390625" style="1" customWidth="1"/>
    <col min="11" max="11" width="10.00390625" style="1" customWidth="1"/>
    <col min="12" max="12" width="14.75390625" style="1" customWidth="1"/>
    <col min="13" max="13" width="15.375" style="1" bestFit="1" customWidth="1"/>
    <col min="14" max="14" width="14.625" style="1" bestFit="1" customWidth="1"/>
    <col min="15" max="15" width="15.375" style="1" bestFit="1" customWidth="1"/>
    <col min="16" max="16" width="15.625" style="54" bestFit="1" customWidth="1"/>
    <col min="17" max="18" width="15.00390625" style="1" bestFit="1" customWidth="1"/>
    <col min="19" max="19" width="15.625" style="1" bestFit="1" customWidth="1"/>
    <col min="20" max="20" width="12.625" style="1" customWidth="1"/>
    <col min="21" max="16384" width="9.00390625" style="1" customWidth="1"/>
  </cols>
  <sheetData>
    <row r="1" spans="1:11" ht="26.25" customHeight="1">
      <c r="A1" s="696" t="s">
        <v>86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</row>
    <row r="2" spans="1:11" ht="26.25" customHeight="1">
      <c r="A2" s="699" t="s">
        <v>453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</row>
    <row r="3" spans="1:11" ht="26.25" customHeight="1">
      <c r="A3" s="663" t="s">
        <v>575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11" ht="33" customHeight="1">
      <c r="A4" s="730" t="s">
        <v>476</v>
      </c>
      <c r="B4" s="742" t="s">
        <v>148</v>
      </c>
      <c r="C4" s="742"/>
      <c r="D4" s="742"/>
      <c r="E4" s="742" t="s">
        <v>149</v>
      </c>
      <c r="F4" s="742"/>
      <c r="G4" s="742"/>
      <c r="H4" s="742" t="s">
        <v>150</v>
      </c>
      <c r="I4" s="742"/>
      <c r="J4" s="742"/>
      <c r="K4" s="577" t="s">
        <v>317</v>
      </c>
    </row>
    <row r="5" spans="1:13" ht="37.5" customHeight="1">
      <c r="A5" s="731"/>
      <c r="B5" s="739" t="s">
        <v>151</v>
      </c>
      <c r="C5" s="739"/>
      <c r="D5" s="739"/>
      <c r="E5" s="739" t="s">
        <v>480</v>
      </c>
      <c r="F5" s="739"/>
      <c r="G5" s="739"/>
      <c r="H5" s="739" t="s">
        <v>153</v>
      </c>
      <c r="I5" s="739"/>
      <c r="J5" s="739"/>
      <c r="K5" s="578" t="s">
        <v>195</v>
      </c>
      <c r="L5" s="1" t="s">
        <v>594</v>
      </c>
      <c r="M5" s="1" t="s">
        <v>594</v>
      </c>
    </row>
    <row r="6" spans="1:23" ht="39.75" customHeight="1">
      <c r="A6" s="731"/>
      <c r="B6" s="743" t="s">
        <v>152</v>
      </c>
      <c r="C6" s="744"/>
      <c r="D6" s="745"/>
      <c r="E6" s="743" t="s">
        <v>152</v>
      </c>
      <c r="F6" s="744"/>
      <c r="G6" s="745"/>
      <c r="H6" s="743" t="s">
        <v>154</v>
      </c>
      <c r="I6" s="744"/>
      <c r="J6" s="745"/>
      <c r="K6" s="579" t="s">
        <v>155</v>
      </c>
      <c r="L6" s="75" t="s">
        <v>595</v>
      </c>
      <c r="M6" s="75" t="s">
        <v>592</v>
      </c>
      <c r="N6" s="75" t="s">
        <v>593</v>
      </c>
      <c r="O6" s="75" t="s">
        <v>552</v>
      </c>
      <c r="P6" s="51" t="s">
        <v>597</v>
      </c>
      <c r="Q6" s="70" t="s">
        <v>553</v>
      </c>
      <c r="R6" s="70" t="s">
        <v>596</v>
      </c>
      <c r="S6" s="70" t="s">
        <v>598</v>
      </c>
      <c r="T6" s="54" t="s">
        <v>599</v>
      </c>
      <c r="U6" s="53"/>
      <c r="W6" s="1">
        <v>106</v>
      </c>
    </row>
    <row r="7" spans="1:21" ht="31.5">
      <c r="A7" s="732"/>
      <c r="B7" s="580" t="s">
        <v>318</v>
      </c>
      <c r="C7" s="580" t="s">
        <v>319</v>
      </c>
      <c r="D7" s="580" t="s">
        <v>320</v>
      </c>
      <c r="E7" s="580" t="s">
        <v>318</v>
      </c>
      <c r="F7" s="580" t="s">
        <v>319</v>
      </c>
      <c r="G7" s="580" t="s">
        <v>320</v>
      </c>
      <c r="H7" s="580" t="s">
        <v>318</v>
      </c>
      <c r="I7" s="580" t="s">
        <v>319</v>
      </c>
      <c r="J7" s="580" t="s">
        <v>320</v>
      </c>
      <c r="K7" s="581" t="s">
        <v>147</v>
      </c>
      <c r="L7" s="53"/>
      <c r="M7" s="53"/>
      <c r="N7" s="53"/>
      <c r="O7" s="53"/>
      <c r="Q7" s="53"/>
      <c r="R7" s="53"/>
      <c r="S7" s="53"/>
      <c r="T7" s="53"/>
      <c r="U7" s="53"/>
    </row>
    <row r="8" spans="1:21" ht="49.5" customHeight="1">
      <c r="A8" s="458" t="s">
        <v>186</v>
      </c>
      <c r="B8" s="582">
        <f>'營業利益'!B7</f>
        <v>7.860748370515387</v>
      </c>
      <c r="C8" s="582">
        <f>'營業利益'!G7</f>
        <v>6.529597059476471</v>
      </c>
      <c r="D8" s="582">
        <f>'營業利益'!E7</f>
        <v>7.040164521283741</v>
      </c>
      <c r="E8" s="582">
        <f>'純益'!B7</f>
        <v>6.417917706753329</v>
      </c>
      <c r="F8" s="582">
        <f>'純益'!G7</f>
        <v>5.3962498105301115</v>
      </c>
      <c r="G8" s="582">
        <f>'純益'!E7</f>
        <v>6.146447054795773</v>
      </c>
      <c r="H8" s="583">
        <f>'純益'!A7/'經營績'!Q8*100</f>
        <v>8.212330129252987</v>
      </c>
      <c r="I8" s="583">
        <f>'純益'!F7/'經營績'!S8*100</f>
        <v>6.755754215144405</v>
      </c>
      <c r="J8" s="583">
        <f>'純益'!D7/'經營績'!R8*100</f>
        <v>7.83104823984125</v>
      </c>
      <c r="K8" s="582">
        <f>'純益'!D7/'經營績'!T8</f>
        <v>1.6515812813186814</v>
      </c>
      <c r="L8" s="76">
        <v>8956399728</v>
      </c>
      <c r="M8" s="76">
        <f>'經營財'!K8</f>
        <v>9198037862</v>
      </c>
      <c r="N8" s="76">
        <f>'經營財'!P8</f>
        <v>9994015615</v>
      </c>
      <c r="O8" s="77">
        <v>9748967000</v>
      </c>
      <c r="P8" s="576">
        <v>9759558000</v>
      </c>
      <c r="Q8" s="78">
        <f aca="true" t="shared" si="0" ref="Q8:R14">(L8+M8)/2</f>
        <v>9077218795</v>
      </c>
      <c r="R8" s="78">
        <f t="shared" si="0"/>
        <v>9596026738.5</v>
      </c>
      <c r="S8" s="78">
        <f>(O8+P8)/2</f>
        <v>9754262500</v>
      </c>
      <c r="T8" s="79">
        <v>455000000</v>
      </c>
      <c r="U8" s="53"/>
    </row>
    <row r="9" spans="1:21" ht="49.5" customHeight="1">
      <c r="A9" s="458" t="s">
        <v>187</v>
      </c>
      <c r="B9" s="582">
        <f>'營業利益'!B8</f>
        <v>-6.682419259113217</v>
      </c>
      <c r="C9" s="582">
        <f>'營業利益'!G8</f>
        <v>-0.2804710582164704</v>
      </c>
      <c r="D9" s="582">
        <f>'營業利益'!E8</f>
        <v>-32.93693786832326</v>
      </c>
      <c r="E9" s="582">
        <f>'純益'!B8</f>
        <v>-5.80436111966927</v>
      </c>
      <c r="F9" s="582">
        <f>'純益'!G8</f>
        <v>0.1156839082851317</v>
      </c>
      <c r="G9" s="582">
        <f>'純益'!E8</f>
        <v>-37.7902524312271</v>
      </c>
      <c r="H9" s="582">
        <f>'純益'!A8/'經營績'!Q9*100</f>
        <v>-2.893399514468934</v>
      </c>
      <c r="I9" s="582">
        <f>'純益'!F8/'經營績'!S9*100</f>
        <v>0.07705249270357241</v>
      </c>
      <c r="J9" s="582">
        <f>'純益'!D8/'經營績'!R9*100</f>
        <v>-19.11207520638685</v>
      </c>
      <c r="K9" s="582">
        <f>'純益'!D8/'經營績'!T9</f>
        <v>-4.426442350418241</v>
      </c>
      <c r="L9" s="74">
        <v>337246802</v>
      </c>
      <c r="M9" s="76">
        <f>'經營財'!K9</f>
        <v>327628059</v>
      </c>
      <c r="N9" s="76">
        <f>'經營財'!P9</f>
        <v>270473271</v>
      </c>
      <c r="O9" s="77">
        <v>372880000</v>
      </c>
      <c r="P9" s="576">
        <v>348706000</v>
      </c>
      <c r="Q9" s="78">
        <f t="shared" si="0"/>
        <v>332437430.5</v>
      </c>
      <c r="R9" s="78">
        <f t="shared" si="0"/>
        <v>299050665</v>
      </c>
      <c r="S9" s="78">
        <f>(P9+O9)/2</f>
        <v>360793000</v>
      </c>
      <c r="T9" s="79">
        <v>12912127.5</v>
      </c>
      <c r="U9" s="53"/>
    </row>
    <row r="10" spans="1:21" ht="49.5" customHeight="1">
      <c r="A10" s="458" t="s">
        <v>189</v>
      </c>
      <c r="B10" s="582">
        <f>'營業利益'!B9</f>
        <v>-5.037366428204214</v>
      </c>
      <c r="C10" s="582">
        <f>'營業利益'!G9</f>
        <v>-9.204569285617358</v>
      </c>
      <c r="D10" s="582">
        <f>'營業利益'!E9</f>
        <v>-4.450162840003249</v>
      </c>
      <c r="E10" s="582">
        <f>'純益'!B9</f>
        <v>-2.7855941429031077</v>
      </c>
      <c r="F10" s="582">
        <f>'純益'!G9</f>
        <v>-8.365715554568668</v>
      </c>
      <c r="G10" s="582">
        <f>'純益'!E9</f>
        <v>-2.789072676470022</v>
      </c>
      <c r="H10" s="582">
        <f>'純益'!A9/'經營績'!Q10*100</f>
        <v>-2.1091449372937916</v>
      </c>
      <c r="I10" s="582">
        <f>'純益'!F9/'經營績'!S10*100</f>
        <v>-12.663569944679162</v>
      </c>
      <c r="J10" s="582">
        <f>'純益'!D9/'經營績'!R10*100</f>
        <v>-3.4006873333387846</v>
      </c>
      <c r="K10" s="582">
        <f>'純益'!D9/'經營績'!T10</f>
        <v>-0.3262985262672802</v>
      </c>
      <c r="L10" s="74">
        <v>135666191</v>
      </c>
      <c r="M10" s="76">
        <f>'經營財'!K10</f>
        <v>132834655</v>
      </c>
      <c r="N10" s="76">
        <f>'經營財'!P10</f>
        <v>128392889</v>
      </c>
      <c r="O10" s="77">
        <v>106231000</v>
      </c>
      <c r="P10" s="576">
        <v>107974000</v>
      </c>
      <c r="Q10" s="78">
        <f t="shared" si="0"/>
        <v>134250423</v>
      </c>
      <c r="R10" s="78">
        <f t="shared" si="0"/>
        <v>130613772</v>
      </c>
      <c r="S10" s="78">
        <f>(P10+O10)/2</f>
        <v>107102500</v>
      </c>
      <c r="T10" s="79">
        <v>13612583.7</v>
      </c>
      <c r="U10" s="53"/>
    </row>
    <row r="11" spans="1:21" ht="49.5" customHeight="1">
      <c r="A11" s="458" t="s">
        <v>200</v>
      </c>
      <c r="B11" s="584">
        <f>'營業利益'!B10</f>
        <v>-46.44326132461554</v>
      </c>
      <c r="C11" s="584">
        <f>'營業利益'!G10</f>
        <v>-76.53333333333333</v>
      </c>
      <c r="D11" s="584">
        <f>'營業利益'!E10</f>
        <v>-48.04009016270694</v>
      </c>
      <c r="E11" s="584">
        <f>'純益'!B10</f>
        <v>-19.527255652488094</v>
      </c>
      <c r="F11" s="584">
        <f>'純益'!G10</f>
        <v>-50.219400352733686</v>
      </c>
      <c r="G11" s="584">
        <f>'純益'!E10</f>
        <v>-25.460164380130117</v>
      </c>
      <c r="H11" s="582">
        <f>'純益'!A10/'經營績'!Q11*100</f>
        <v>-11.132475290936316</v>
      </c>
      <c r="I11" s="582">
        <f>'純益'!F10/'經營績'!S11*100</f>
        <v>-36.3903117300044</v>
      </c>
      <c r="J11" s="582">
        <f>'純益'!D10/'經營績'!R11*100</f>
        <v>-11.88259815531193</v>
      </c>
      <c r="K11" s="582">
        <f>'純益'!D10/'經營績'!T11</f>
        <v>-1.45449528418377</v>
      </c>
      <c r="L11" s="74">
        <v>207377151</v>
      </c>
      <c r="M11" s="76">
        <f>'經營財'!K11</f>
        <v>290998067</v>
      </c>
      <c r="N11" s="76">
        <f>'經營財'!P11</f>
        <v>314994251</v>
      </c>
      <c r="O11" s="77">
        <v>201211000</v>
      </c>
      <c r="P11" s="576">
        <v>190025000</v>
      </c>
      <c r="Q11" s="78">
        <f t="shared" si="0"/>
        <v>249187609</v>
      </c>
      <c r="R11" s="78">
        <f t="shared" si="0"/>
        <v>302996159</v>
      </c>
      <c r="S11" s="78">
        <f>(P11+O11)/2</f>
        <v>195618000</v>
      </c>
      <c r="T11" s="79">
        <v>24753477.3</v>
      </c>
      <c r="U11" s="53"/>
    </row>
    <row r="12" spans="1:21" ht="49.5" customHeight="1">
      <c r="A12" s="458" t="s">
        <v>199</v>
      </c>
      <c r="B12" s="584">
        <f>'營業利益'!B11</f>
        <v>-1.1962877264532754</v>
      </c>
      <c r="C12" s="584">
        <f>'營業利益'!G11</f>
        <v>-8.17486988238187</v>
      </c>
      <c r="D12" s="584">
        <f>'營業利益'!E11</f>
        <v>-6.915380441797401</v>
      </c>
      <c r="E12" s="584">
        <f>'純益'!B11</f>
        <v>4.850158700448254</v>
      </c>
      <c r="F12" s="584">
        <f>'純益'!G11</f>
        <v>-1.781689275029712</v>
      </c>
      <c r="G12" s="584">
        <f>'純益'!E11</f>
        <v>0.08680268591565865</v>
      </c>
      <c r="H12" s="582">
        <f>'純益'!A11/'經營績'!Q12*100</f>
        <v>6.9694911040824845</v>
      </c>
      <c r="I12" s="582">
        <f>'純益'!F11/'經營績'!S12*100</f>
        <v>-8.987100539143345</v>
      </c>
      <c r="J12" s="582">
        <f>'純益'!D11/'經營績'!R12*100</f>
        <v>0.1214873053795925</v>
      </c>
      <c r="K12" s="582">
        <f>'純益'!D11/'經營績'!T12</f>
        <v>0.04373718791064389</v>
      </c>
      <c r="L12" s="74">
        <v>63859141</v>
      </c>
      <c r="M12" s="76">
        <f>'經營財'!K12</f>
        <v>68470492</v>
      </c>
      <c r="N12" s="76">
        <f>'經營財'!P12</f>
        <v>68515014</v>
      </c>
      <c r="O12" s="77">
        <v>38699000</v>
      </c>
      <c r="P12" s="576">
        <v>36960000</v>
      </c>
      <c r="Q12" s="78">
        <f t="shared" si="0"/>
        <v>66164816.5</v>
      </c>
      <c r="R12" s="78">
        <f t="shared" si="0"/>
        <v>68492753</v>
      </c>
      <c r="S12" s="78">
        <f>(912+O12)/2</f>
        <v>19349956</v>
      </c>
      <c r="T12" s="79">
        <v>1902500</v>
      </c>
      <c r="U12" s="53"/>
    </row>
    <row r="13" spans="1:21" ht="49.5" customHeight="1">
      <c r="A13" s="458" t="s">
        <v>193</v>
      </c>
      <c r="B13" s="582">
        <f>'營業利益'!B12</f>
        <v>-5.582754753832651</v>
      </c>
      <c r="C13" s="582">
        <f>'營業利益'!G12</f>
        <v>-61.18366560724261</v>
      </c>
      <c r="D13" s="582">
        <f>'營業利益'!E12</f>
        <v>-24.569196768888755</v>
      </c>
      <c r="E13" s="582">
        <f>'純益'!B12</f>
        <v>2.866412734647067</v>
      </c>
      <c r="F13" s="582">
        <f>'純益'!G12</f>
        <v>-50.54447975857973</v>
      </c>
      <c r="G13" s="582">
        <f>'純益'!E12</f>
        <v>-15.420992794663121</v>
      </c>
      <c r="H13" s="585">
        <f>'純益'!A12/'經營績'!Q13*100</f>
        <v>0.8342331857076369</v>
      </c>
      <c r="I13" s="585">
        <f>'純益'!F12/'經營績'!S13*100</f>
        <v>-14.234586190170296</v>
      </c>
      <c r="J13" s="585">
        <f>'純益'!D12/'經營績'!R13*100</f>
        <v>-4.170103421067532</v>
      </c>
      <c r="K13" s="582">
        <f>'純益'!D12/'經營績'!T13</f>
        <v>-0.7709841004747877</v>
      </c>
      <c r="L13" s="74">
        <v>1323031318</v>
      </c>
      <c r="M13" s="76">
        <f>'經營財'!K13</f>
        <v>1334114715</v>
      </c>
      <c r="N13" s="76">
        <f>'經營財'!P13</f>
        <v>1279617056</v>
      </c>
      <c r="O13" s="77">
        <v>1152310000</v>
      </c>
      <c r="P13" s="576">
        <v>1059781000</v>
      </c>
      <c r="Q13" s="78">
        <f t="shared" si="0"/>
        <v>1328573016.5</v>
      </c>
      <c r="R13" s="78">
        <f t="shared" si="0"/>
        <v>1306865885.5</v>
      </c>
      <c r="S13" s="78">
        <f>(P13+O13)/2</f>
        <v>1106045500</v>
      </c>
      <c r="T13" s="79">
        <v>70685840.3</v>
      </c>
      <c r="U13" s="53"/>
    </row>
    <row r="14" spans="1:21" ht="24.75" customHeight="1">
      <c r="A14" s="502"/>
      <c r="B14" s="502"/>
      <c r="C14" s="502"/>
      <c r="D14" s="502"/>
      <c r="E14" s="502"/>
      <c r="F14" s="502"/>
      <c r="G14" s="502"/>
      <c r="H14" s="502"/>
      <c r="I14" s="502"/>
      <c r="J14" s="502"/>
      <c r="K14" s="586"/>
      <c r="L14" s="63">
        <f>SUM(L8:L13)</f>
        <v>11023580331</v>
      </c>
      <c r="M14" s="61">
        <f>SUM(M8:M13)</f>
        <v>11352083850</v>
      </c>
      <c r="N14" s="61">
        <f>SUM(N8:N13)</f>
        <v>12056008096</v>
      </c>
      <c r="O14" s="61">
        <f>SUM(O8:O13)</f>
        <v>11620298000</v>
      </c>
      <c r="P14" s="61">
        <f>SUM(P8:P13)</f>
        <v>11503004000</v>
      </c>
      <c r="Q14" s="62">
        <f t="shared" si="0"/>
        <v>11187832090.5</v>
      </c>
      <c r="R14" s="62">
        <f t="shared" si="0"/>
        <v>11704045973</v>
      </c>
      <c r="S14" s="62">
        <f>(P14+O14)/2</f>
        <v>11561651000</v>
      </c>
      <c r="T14" s="56"/>
      <c r="U14" s="53"/>
    </row>
    <row r="15" spans="1:21" ht="24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2"/>
      <c r="L15" s="53"/>
      <c r="M15" s="53"/>
      <c r="N15" s="53"/>
      <c r="O15" s="53"/>
      <c r="Q15" s="53"/>
      <c r="R15" s="53"/>
      <c r="S15" s="53"/>
      <c r="T15" s="55">
        <f>SUM(T8:T14)</f>
        <v>578866528.8</v>
      </c>
      <c r="U15" s="53"/>
    </row>
    <row r="16" spans="1:11" ht="24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2"/>
    </row>
    <row r="17" spans="1:11" ht="24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2"/>
    </row>
    <row r="18" spans="1:11" ht="24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2"/>
    </row>
    <row r="19" spans="1:11" ht="24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32"/>
    </row>
    <row r="20" spans="1:11" ht="24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2"/>
    </row>
    <row r="21" spans="1:11" ht="24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4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24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sheetProtection/>
  <mergeCells count="13">
    <mergeCell ref="A1:K1"/>
    <mergeCell ref="A3:K3"/>
    <mergeCell ref="A2:K2"/>
    <mergeCell ref="H4:J4"/>
    <mergeCell ref="A4:A7"/>
    <mergeCell ref="H5:J5"/>
    <mergeCell ref="H6:J6"/>
    <mergeCell ref="B4:D4"/>
    <mergeCell ref="E4:G4"/>
    <mergeCell ref="B5:D5"/>
    <mergeCell ref="B6:D6"/>
    <mergeCell ref="E5:G5"/>
    <mergeCell ref="E6:G6"/>
  </mergeCells>
  <printOptions horizontalCentered="1" verticalCentered="1"/>
  <pageMargins left="0.5905511811023623" right="0.5905511811023623" top="0.5905511811023623" bottom="0.5905511811023623" header="0" footer="0.31496062992125984"/>
  <pageSetup firstPageNumber="73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zoomScalePageLayoutView="0" workbookViewId="0" topLeftCell="A1">
      <selection activeCell="F8" sqref="F8"/>
    </sheetView>
  </sheetViews>
  <sheetFormatPr defaultColWidth="9.00390625" defaultRowHeight="16.5"/>
  <cols>
    <col min="1" max="1" width="17.375" style="1" customWidth="1"/>
    <col min="2" max="7" width="11.125" style="1" customWidth="1"/>
    <col min="8" max="8" width="10.625" style="1" customWidth="1"/>
    <col min="9" max="17" width="12.625" style="1" customWidth="1"/>
    <col min="18" max="16384" width="9.00390625" style="1" customWidth="1"/>
  </cols>
  <sheetData>
    <row r="1" spans="1:8" ht="26.25" customHeight="1">
      <c r="A1" s="721" t="s">
        <v>86</v>
      </c>
      <c r="B1" s="721"/>
      <c r="C1" s="721"/>
      <c r="D1" s="721"/>
      <c r="E1" s="721"/>
      <c r="F1" s="721"/>
      <c r="G1" s="721"/>
      <c r="H1" s="26"/>
    </row>
    <row r="2" spans="1:9" ht="26.25" customHeight="1">
      <c r="A2" s="725" t="s">
        <v>454</v>
      </c>
      <c r="B2" s="725"/>
      <c r="C2" s="725"/>
      <c r="D2" s="725"/>
      <c r="E2" s="725"/>
      <c r="F2" s="725"/>
      <c r="G2" s="725"/>
      <c r="H2" s="28"/>
      <c r="I2" s="1" t="s">
        <v>604</v>
      </c>
    </row>
    <row r="3" spans="1:8" ht="26.25" customHeight="1">
      <c r="A3" s="663" t="s">
        <v>575</v>
      </c>
      <c r="B3" s="663"/>
      <c r="C3" s="663"/>
      <c r="D3" s="663"/>
      <c r="E3" s="663"/>
      <c r="F3" s="663"/>
      <c r="G3" s="663"/>
      <c r="H3" s="27"/>
    </row>
    <row r="4" spans="1:17" ht="33" customHeight="1">
      <c r="A4" s="753" t="s">
        <v>476</v>
      </c>
      <c r="B4" s="752" t="s">
        <v>157</v>
      </c>
      <c r="C4" s="752"/>
      <c r="D4" s="752"/>
      <c r="E4" s="752" t="s">
        <v>158</v>
      </c>
      <c r="F4" s="752"/>
      <c r="G4" s="752"/>
      <c r="H4" s="51" t="s">
        <v>516</v>
      </c>
      <c r="I4" s="51" t="s">
        <v>549</v>
      </c>
      <c r="J4" s="54" t="s">
        <v>590</v>
      </c>
      <c r="K4" s="51" t="s">
        <v>591</v>
      </c>
      <c r="L4" s="51" t="s">
        <v>586</v>
      </c>
      <c r="M4" s="75" t="s">
        <v>518</v>
      </c>
      <c r="N4" s="75" t="s">
        <v>554</v>
      </c>
      <c r="O4" s="75" t="s">
        <v>600</v>
      </c>
      <c r="P4" s="51" t="s">
        <v>555</v>
      </c>
      <c r="Q4" s="51" t="s">
        <v>601</v>
      </c>
    </row>
    <row r="5" spans="1:17" ht="16.5" customHeight="1">
      <c r="A5" s="754"/>
      <c r="B5" s="746" t="s">
        <v>159</v>
      </c>
      <c r="C5" s="747"/>
      <c r="D5" s="750">
        <v>-1</v>
      </c>
      <c r="E5" s="746" t="s">
        <v>382</v>
      </c>
      <c r="F5" s="747"/>
      <c r="G5" s="750">
        <v>-1</v>
      </c>
      <c r="H5" s="64"/>
      <c r="I5" s="54"/>
      <c r="J5" s="54"/>
      <c r="K5" s="54"/>
      <c r="L5" s="54"/>
      <c r="M5" s="54"/>
      <c r="N5" s="54"/>
      <c r="O5" s="54"/>
      <c r="P5" s="54"/>
      <c r="Q5" s="54"/>
    </row>
    <row r="6" spans="1:17" ht="16.5" customHeight="1">
      <c r="A6" s="754"/>
      <c r="B6" s="748" t="s">
        <v>160</v>
      </c>
      <c r="C6" s="749"/>
      <c r="D6" s="751"/>
      <c r="E6" s="748" t="s">
        <v>463</v>
      </c>
      <c r="F6" s="749"/>
      <c r="G6" s="751"/>
      <c r="H6" s="57"/>
      <c r="I6" s="53"/>
      <c r="J6" s="53"/>
      <c r="K6" s="53"/>
      <c r="L6" s="53"/>
      <c r="M6" s="53"/>
      <c r="N6" s="53"/>
      <c r="O6" s="53"/>
      <c r="P6" s="53"/>
      <c r="Q6" s="53"/>
    </row>
    <row r="7" spans="1:17" ht="16.5">
      <c r="A7" s="755"/>
      <c r="B7" s="23" t="s">
        <v>77</v>
      </c>
      <c r="C7" s="23" t="s">
        <v>156</v>
      </c>
      <c r="D7" s="23" t="s">
        <v>147</v>
      </c>
      <c r="E7" s="23" t="s">
        <v>77</v>
      </c>
      <c r="F7" s="23" t="s">
        <v>156</v>
      </c>
      <c r="G7" s="23" t="s">
        <v>147</v>
      </c>
      <c r="H7" s="58"/>
      <c r="I7" s="53"/>
      <c r="J7" s="53"/>
      <c r="K7" s="53"/>
      <c r="L7" s="53"/>
      <c r="M7" s="53"/>
      <c r="N7" s="53"/>
      <c r="O7" s="53"/>
      <c r="P7" s="53"/>
      <c r="Q7" s="53"/>
    </row>
    <row r="8" spans="1:17" ht="49.5" customHeight="1">
      <c r="A8" s="22" t="s">
        <v>186</v>
      </c>
      <c r="B8" s="553">
        <f aca="true" t="shared" si="0" ref="B8:B13">(I8/H8-1)*100</f>
        <v>-0.20825602009729716</v>
      </c>
      <c r="C8" s="553">
        <f aca="true" t="shared" si="1" ref="C8:C13">(L8/K8-1)*100</f>
        <v>-1.1390576279726616</v>
      </c>
      <c r="D8" s="553">
        <f aca="true" t="shared" si="2" ref="D8:D13">(J8/I8-1)*100</f>
        <v>5.259704082098771</v>
      </c>
      <c r="E8" s="553">
        <f aca="true" t="shared" si="3" ref="E8:E13">(N8/M8-1)*100</f>
        <v>2.6979382490553316</v>
      </c>
      <c r="F8" s="553">
        <f aca="true" t="shared" si="4" ref="F8:F13">(Q8/P8-1)*100</f>
        <v>0.1086371509925188</v>
      </c>
      <c r="G8" s="554">
        <f aca="true" t="shared" si="5" ref="G8:G13">(O8/N8-1)*100</f>
        <v>8.653777739798564</v>
      </c>
      <c r="H8" s="73">
        <v>11639396061</v>
      </c>
      <c r="I8" s="74">
        <f>'營業利益'!J7</f>
        <v>11615156318</v>
      </c>
      <c r="J8" s="74">
        <f>'營業利益'!K7</f>
        <v>12226079169</v>
      </c>
      <c r="K8" s="74">
        <v>12352404000</v>
      </c>
      <c r="L8" s="74">
        <f>'營業利益'!L7</f>
        <v>12211703000</v>
      </c>
      <c r="M8" s="74">
        <f>'經營績'!L8</f>
        <v>8956399728</v>
      </c>
      <c r="N8" s="74">
        <f>'經營績'!M8</f>
        <v>9198037862</v>
      </c>
      <c r="O8" s="74">
        <f>'經營績'!N8</f>
        <v>9994015615</v>
      </c>
      <c r="P8" s="74">
        <f>'經營績'!O8</f>
        <v>9748967000</v>
      </c>
      <c r="Q8" s="74">
        <f>'經營績'!P8</f>
        <v>9759558000</v>
      </c>
    </row>
    <row r="9" spans="1:17" ht="49.5" customHeight="1">
      <c r="A9" s="22" t="s">
        <v>187</v>
      </c>
      <c r="B9" s="553">
        <f t="shared" si="0"/>
        <v>-5.93822970390383</v>
      </c>
      <c r="C9" s="553">
        <f t="shared" si="1"/>
        <v>0.5851526922046713</v>
      </c>
      <c r="D9" s="553">
        <f t="shared" si="2"/>
        <v>-8.734018541817667</v>
      </c>
      <c r="E9" s="553">
        <f t="shared" si="3"/>
        <v>-2.8521376460672876</v>
      </c>
      <c r="F9" s="553">
        <f t="shared" si="4"/>
        <v>-6.483050847457628</v>
      </c>
      <c r="G9" s="554">
        <f t="shared" si="5"/>
        <v>-17.44502231416022</v>
      </c>
      <c r="H9" s="73">
        <v>176177624</v>
      </c>
      <c r="I9" s="74">
        <f>'營業利益'!J8</f>
        <v>165715792</v>
      </c>
      <c r="J9" s="74">
        <f>'營業利益'!K8</f>
        <v>151242144</v>
      </c>
      <c r="K9" s="74">
        <v>238912000</v>
      </c>
      <c r="L9" s="74">
        <f>'營業利益'!L8</f>
        <v>240310000</v>
      </c>
      <c r="M9" s="74">
        <f>'經營績'!L9</f>
        <v>337246802</v>
      </c>
      <c r="N9" s="74">
        <f>'經營績'!M9</f>
        <v>327628059</v>
      </c>
      <c r="O9" s="74">
        <f>'經營績'!N9</f>
        <v>270473271</v>
      </c>
      <c r="P9" s="74">
        <f>'經營績'!O9</f>
        <v>372880000</v>
      </c>
      <c r="Q9" s="74">
        <f>'經營績'!P9</f>
        <v>348706000</v>
      </c>
    </row>
    <row r="10" spans="1:17" ht="49.5" customHeight="1">
      <c r="A10" s="22" t="s">
        <v>189</v>
      </c>
      <c r="B10" s="553">
        <f t="shared" si="0"/>
        <v>-2.4308813548838404</v>
      </c>
      <c r="C10" s="553">
        <f t="shared" si="1"/>
        <v>58.750954703013925</v>
      </c>
      <c r="D10" s="553">
        <f t="shared" si="2"/>
        <v>56.67207572359647</v>
      </c>
      <c r="E10" s="553">
        <f t="shared" si="3"/>
        <v>-2.08713459051858</v>
      </c>
      <c r="F10" s="553">
        <f t="shared" si="4"/>
        <v>1.6407639954438835</v>
      </c>
      <c r="G10" s="554">
        <f t="shared" si="5"/>
        <v>-3.3438307194760264</v>
      </c>
      <c r="H10" s="73">
        <v>104181802</v>
      </c>
      <c r="I10" s="74">
        <f>'營業利益'!J9</f>
        <v>101649266</v>
      </c>
      <c r="J10" s="74">
        <f>'營業利益'!K9</f>
        <v>159256015</v>
      </c>
      <c r="K10" s="74">
        <v>102126000</v>
      </c>
      <c r="L10" s="74">
        <f>'營業利益'!L9</f>
        <v>162126000</v>
      </c>
      <c r="M10" s="74">
        <f>'經營績'!L10</f>
        <v>135666191</v>
      </c>
      <c r="N10" s="74">
        <f>'經營績'!M10</f>
        <v>132834655</v>
      </c>
      <c r="O10" s="74">
        <f>'經營績'!N10</f>
        <v>128392889</v>
      </c>
      <c r="P10" s="74">
        <f>'經營績'!O10</f>
        <v>106231000</v>
      </c>
      <c r="Q10" s="74">
        <f>'經營績'!P10</f>
        <v>107974000</v>
      </c>
    </row>
    <row r="11" spans="1:17" ht="49.5" customHeight="1">
      <c r="A11" s="22" t="s">
        <v>383</v>
      </c>
      <c r="B11" s="553">
        <f t="shared" si="0"/>
        <v>12.512768911014716</v>
      </c>
      <c r="C11" s="553">
        <f t="shared" si="1"/>
        <v>2.788896623738246</v>
      </c>
      <c r="D11" s="553">
        <f t="shared" si="2"/>
        <v>-0.4570838268513344</v>
      </c>
      <c r="E11" s="553">
        <f t="shared" si="3"/>
        <v>40.32310965637676</v>
      </c>
      <c r="F11" s="553">
        <f t="shared" si="4"/>
        <v>-5.5593382071556725</v>
      </c>
      <c r="G11" s="554">
        <f t="shared" si="5"/>
        <v>8.246166116285568</v>
      </c>
      <c r="H11" s="73">
        <v>126262725</v>
      </c>
      <c r="I11" s="74">
        <f>'營業利益'!J10</f>
        <v>142061688</v>
      </c>
      <c r="J11" s="74">
        <f>'營業利益'!K10</f>
        <v>141412347</v>
      </c>
      <c r="K11" s="74">
        <v>137904000</v>
      </c>
      <c r="L11" s="74">
        <f>'營業利益'!L10</f>
        <v>141750000</v>
      </c>
      <c r="M11" s="74">
        <f>'經營績'!L11</f>
        <v>207377151</v>
      </c>
      <c r="N11" s="74">
        <f>'經營績'!M11</f>
        <v>290998067</v>
      </c>
      <c r="O11" s="74">
        <f>'經營績'!N11</f>
        <v>314994251</v>
      </c>
      <c r="P11" s="74">
        <f>'經營績'!O11</f>
        <v>201211000</v>
      </c>
      <c r="Q11" s="74">
        <f>'經營績'!P11</f>
        <v>190025000</v>
      </c>
    </row>
    <row r="12" spans="1:17" ht="49.5" customHeight="1">
      <c r="A12" s="22" t="s">
        <v>384</v>
      </c>
      <c r="B12" s="553">
        <f t="shared" si="0"/>
        <v>3.185061172255166</v>
      </c>
      <c r="C12" s="553">
        <f t="shared" si="1"/>
        <v>10.63328157056549</v>
      </c>
      <c r="D12" s="553">
        <f t="shared" si="2"/>
        <v>0.8254402772190694</v>
      </c>
      <c r="E12" s="553">
        <f t="shared" si="3"/>
        <v>7.221129078450961</v>
      </c>
      <c r="F12" s="553">
        <f t="shared" si="4"/>
        <v>-4.493656166826021</v>
      </c>
      <c r="G12" s="554">
        <f t="shared" si="5"/>
        <v>0.06502363090949981</v>
      </c>
      <c r="H12" s="73">
        <v>92141527</v>
      </c>
      <c r="I12" s="74">
        <f>'營業利益'!J11</f>
        <v>95076291</v>
      </c>
      <c r="J12" s="74">
        <f>'營業利益'!K11</f>
        <v>95861089</v>
      </c>
      <c r="K12" s="74">
        <v>88223000</v>
      </c>
      <c r="L12" s="74">
        <f>'營業利益'!L11</f>
        <v>97604000</v>
      </c>
      <c r="M12" s="74">
        <f>'經營績'!L12</f>
        <v>63859141</v>
      </c>
      <c r="N12" s="74">
        <f>'經營績'!M12</f>
        <v>68470492</v>
      </c>
      <c r="O12" s="74">
        <f>'經營績'!N12</f>
        <v>68515014</v>
      </c>
      <c r="P12" s="74">
        <f>'經營績'!O12</f>
        <v>38699000</v>
      </c>
      <c r="Q12" s="74">
        <f>'經營績'!P12</f>
        <v>36960000</v>
      </c>
    </row>
    <row r="13" spans="1:17" ht="49.5" customHeight="1">
      <c r="A13" s="22" t="s">
        <v>193</v>
      </c>
      <c r="B13" s="553">
        <f t="shared" si="0"/>
        <v>55.411184454459494</v>
      </c>
      <c r="C13" s="553">
        <f t="shared" si="1"/>
        <v>-4.873445554714029</v>
      </c>
      <c r="D13" s="553">
        <f t="shared" si="2"/>
        <v>-8.603124778659787</v>
      </c>
      <c r="E13" s="553">
        <f t="shared" si="3"/>
        <v>0.8377274860548622</v>
      </c>
      <c r="F13" s="553">
        <f t="shared" si="4"/>
        <v>-8.029870434171361</v>
      </c>
      <c r="G13" s="554">
        <f t="shared" si="5"/>
        <v>-4.084930507643792</v>
      </c>
      <c r="H13" s="73">
        <v>248800870</v>
      </c>
      <c r="I13" s="74">
        <f>'營業利益'!J12</f>
        <v>386664379</v>
      </c>
      <c r="J13" s="74">
        <f>'營業利益'!K12</f>
        <v>353399160</v>
      </c>
      <c r="K13" s="74">
        <v>327448000</v>
      </c>
      <c r="L13" s="74">
        <f>'營業利益'!L12</f>
        <v>311490000</v>
      </c>
      <c r="M13" s="74">
        <f>'經營績'!L13</f>
        <v>1323031318</v>
      </c>
      <c r="N13" s="74">
        <f>'經營績'!M13</f>
        <v>1334114715</v>
      </c>
      <c r="O13" s="74">
        <f>'經營績'!N13</f>
        <v>1279617056</v>
      </c>
      <c r="P13" s="74">
        <f>'經營績'!O13</f>
        <v>1152310000</v>
      </c>
      <c r="Q13" s="74">
        <f>'經營績'!P13</f>
        <v>1059781000</v>
      </c>
    </row>
    <row r="14" spans="1:17" ht="24.75" customHeight="1">
      <c r="A14" s="19"/>
      <c r="B14" s="60"/>
      <c r="C14" s="60"/>
      <c r="D14" s="60"/>
      <c r="E14" s="60"/>
      <c r="F14" s="60"/>
      <c r="G14" s="68"/>
      <c r="H14" s="67">
        <f>SUM(H8:H13)</f>
        <v>12386960609</v>
      </c>
      <c r="I14" s="65">
        <f>'營業利益'!J13</f>
        <v>12506323734</v>
      </c>
      <c r="J14" s="65">
        <f>'營業利益'!K13</f>
        <v>13127249924</v>
      </c>
      <c r="K14" s="66">
        <f>SUM(K8:K13)</f>
        <v>13247017000</v>
      </c>
      <c r="L14" s="66">
        <f>SUM(L8:L13)</f>
        <v>13164983000</v>
      </c>
      <c r="M14" s="66">
        <f>SUM(M8:M13)</f>
        <v>11023580331</v>
      </c>
      <c r="N14" s="66">
        <f>SUM(N8:N13)</f>
        <v>11352083850</v>
      </c>
      <c r="O14" s="67">
        <f>SUM(O8:O13)</f>
        <v>12056008096</v>
      </c>
      <c r="P14" s="65">
        <f>'經營績'!O14</f>
        <v>11620298000</v>
      </c>
      <c r="Q14" s="65">
        <f>'經營績'!Q14</f>
        <v>11187832090.5</v>
      </c>
    </row>
    <row r="15" spans="1:8" ht="24.75" customHeight="1">
      <c r="A15" s="19"/>
      <c r="B15" s="60"/>
      <c r="C15" s="60"/>
      <c r="D15" s="60"/>
      <c r="E15" s="60"/>
      <c r="F15" s="60"/>
      <c r="G15" s="68"/>
      <c r="H15" s="29"/>
    </row>
    <row r="16" spans="1:8" ht="24.75" customHeight="1">
      <c r="A16" s="19"/>
      <c r="B16" s="60"/>
      <c r="C16" s="60"/>
      <c r="D16" s="60"/>
      <c r="E16" s="60"/>
      <c r="F16" s="60"/>
      <c r="G16" s="68"/>
      <c r="H16" s="29"/>
    </row>
    <row r="17" spans="1:8" ht="24.75" customHeight="1">
      <c r="A17" s="19"/>
      <c r="B17" s="19"/>
      <c r="C17" s="19"/>
      <c r="D17" s="19"/>
      <c r="E17" s="19"/>
      <c r="F17" s="19"/>
      <c r="G17" s="31"/>
      <c r="H17" s="29"/>
    </row>
    <row r="18" spans="1:8" ht="24.75" customHeight="1">
      <c r="A18" s="19"/>
      <c r="B18" s="19"/>
      <c r="C18" s="19"/>
      <c r="D18" s="19"/>
      <c r="E18" s="19"/>
      <c r="F18" s="19"/>
      <c r="G18" s="31"/>
      <c r="H18" s="29"/>
    </row>
    <row r="19" spans="1:8" ht="24.75" customHeight="1">
      <c r="A19" s="19"/>
      <c r="B19" s="19"/>
      <c r="C19" s="19"/>
      <c r="D19" s="19"/>
      <c r="E19" s="19"/>
      <c r="F19" s="19"/>
      <c r="G19" s="31"/>
      <c r="H19" s="29"/>
    </row>
    <row r="20" spans="1:8" ht="24.75" customHeight="1">
      <c r="A20" s="19"/>
      <c r="B20" s="19"/>
      <c r="C20" s="19"/>
      <c r="D20" s="19"/>
      <c r="E20" s="19"/>
      <c r="F20" s="19"/>
      <c r="G20" s="31"/>
      <c r="H20" s="29"/>
    </row>
    <row r="21" spans="1:8" ht="24.75" customHeight="1">
      <c r="A21" s="19"/>
      <c r="B21" s="19"/>
      <c r="C21" s="19"/>
      <c r="D21" s="19"/>
      <c r="E21" s="19"/>
      <c r="F21" s="19"/>
      <c r="G21" s="24"/>
      <c r="H21" s="29"/>
    </row>
    <row r="22" spans="1:8" ht="24.75" customHeight="1">
      <c r="A22" s="19"/>
      <c r="B22" s="19"/>
      <c r="C22" s="19"/>
      <c r="D22" s="19"/>
      <c r="E22" s="19"/>
      <c r="F22" s="19"/>
      <c r="G22" s="24"/>
      <c r="H22" s="29"/>
    </row>
    <row r="23" spans="1:8" ht="17.25" customHeight="1">
      <c r="A23" s="19"/>
      <c r="B23" s="19"/>
      <c r="C23" s="19"/>
      <c r="D23" s="19"/>
      <c r="E23" s="19"/>
      <c r="F23" s="19"/>
      <c r="G23" s="24"/>
      <c r="H23" s="29"/>
    </row>
    <row r="24" spans="1:8" ht="24.75" customHeight="1">
      <c r="A24" s="19"/>
      <c r="B24" s="19"/>
      <c r="C24" s="19"/>
      <c r="D24" s="19"/>
      <c r="E24" s="19"/>
      <c r="F24" s="19"/>
      <c r="G24" s="24"/>
      <c r="H24" s="29"/>
    </row>
    <row r="25" spans="1:8" ht="24.75" customHeight="1">
      <c r="A25" s="20"/>
      <c r="B25" s="20"/>
      <c r="C25" s="20"/>
      <c r="D25" s="20"/>
      <c r="E25" s="20"/>
      <c r="F25" s="20"/>
      <c r="G25" s="25"/>
      <c r="H25" s="29"/>
    </row>
  </sheetData>
  <sheetProtection/>
  <mergeCells count="12">
    <mergeCell ref="E4:G4"/>
    <mergeCell ref="A4:A7"/>
    <mergeCell ref="B5:C5"/>
    <mergeCell ref="B6:C6"/>
    <mergeCell ref="A1:G1"/>
    <mergeCell ref="A2:G2"/>
    <mergeCell ref="A3:G3"/>
    <mergeCell ref="D5:D6"/>
    <mergeCell ref="G5:G6"/>
    <mergeCell ref="E5:F5"/>
    <mergeCell ref="E6:F6"/>
    <mergeCell ref="B4:D4"/>
  </mergeCells>
  <printOptions horizontalCentered="1" verticalCentered="1"/>
  <pageMargins left="0.7874015748031497" right="0.7874015748031497" top="0.5905511811023623" bottom="0.5905511811023623" header="0" footer="0.31496062992125984"/>
  <pageSetup firstPageNumber="74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9:I19"/>
  <sheetViews>
    <sheetView zoomScalePageLayoutView="0" workbookViewId="0" topLeftCell="A1">
      <selection activeCell="I27" sqref="I27"/>
    </sheetView>
  </sheetViews>
  <sheetFormatPr defaultColWidth="8.75390625" defaultRowHeight="16.5"/>
  <cols>
    <col min="1" max="16384" width="8.75390625" style="1" customWidth="1"/>
  </cols>
  <sheetData>
    <row r="19" spans="1:9" ht="100.5">
      <c r="A19" s="16" t="s">
        <v>385</v>
      </c>
      <c r="B19" s="16"/>
      <c r="C19" s="15"/>
      <c r="D19" s="16"/>
      <c r="E19" s="15"/>
      <c r="F19" s="15"/>
      <c r="G19" s="15"/>
      <c r="H19" s="15"/>
      <c r="I1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8.75390625" defaultRowHeight="16.5"/>
  <cols>
    <col min="1" max="1" width="22.625" style="235" customWidth="1"/>
    <col min="2" max="2" width="15.75390625" style="235" customWidth="1"/>
    <col min="3" max="3" width="6.625" style="235" customWidth="1"/>
    <col min="4" max="4" width="13.125" style="235" customWidth="1"/>
    <col min="5" max="5" width="6.625" style="235" customWidth="1"/>
    <col min="6" max="6" width="13.125" style="235" customWidth="1"/>
    <col min="7" max="7" width="6.625" style="235" customWidth="1"/>
    <col min="8" max="8" width="15.625" style="235" customWidth="1"/>
    <col min="9" max="9" width="5.625" style="235" customWidth="1"/>
    <col min="10" max="10" width="15.625" style="235" customWidth="1"/>
    <col min="11" max="11" width="5.625" style="235" customWidth="1"/>
    <col min="12" max="12" width="15.625" style="235" customWidth="1"/>
    <col min="13" max="13" width="5.625" style="235" customWidth="1"/>
    <col min="14" max="14" width="15.625" style="235" customWidth="1"/>
    <col min="15" max="15" width="5.625" style="235" customWidth="1"/>
    <col min="16" max="16384" width="8.75390625" style="235" customWidth="1"/>
  </cols>
  <sheetData>
    <row r="1" spans="6:9" ht="26.25" customHeight="1">
      <c r="F1" s="278"/>
      <c r="G1" s="279" t="s">
        <v>455</v>
      </c>
      <c r="H1" s="280" t="s">
        <v>456</v>
      </c>
      <c r="I1" s="281"/>
    </row>
    <row r="2" spans="1:14" ht="26.25" customHeight="1">
      <c r="A2" s="282" t="s">
        <v>206</v>
      </c>
      <c r="B2" s="283"/>
      <c r="C2" s="284"/>
      <c r="D2" s="284"/>
      <c r="E2" s="284"/>
      <c r="F2" s="285"/>
      <c r="G2" s="286" t="s">
        <v>71</v>
      </c>
      <c r="H2" s="287" t="s">
        <v>72</v>
      </c>
      <c r="I2" s="284"/>
      <c r="J2" s="284"/>
      <c r="K2" s="284"/>
      <c r="L2" s="284"/>
      <c r="M2" s="284"/>
      <c r="N2" s="288" t="s">
        <v>469</v>
      </c>
    </row>
    <row r="3" spans="1:14" ht="26.25" customHeight="1">
      <c r="A3" s="289"/>
      <c r="B3" s="283"/>
      <c r="C3" s="290"/>
      <c r="E3" s="291"/>
      <c r="F3" s="292"/>
      <c r="G3" s="293" t="s">
        <v>850</v>
      </c>
      <c r="H3" s="294" t="s">
        <v>557</v>
      </c>
      <c r="I3" s="292"/>
      <c r="J3" s="295"/>
      <c r="K3" s="295"/>
      <c r="L3" s="290"/>
      <c r="M3" s="290"/>
      <c r="N3" s="199" t="s">
        <v>70</v>
      </c>
    </row>
    <row r="4" spans="1:18" ht="21.75" customHeight="1">
      <c r="A4" s="620" t="s">
        <v>183</v>
      </c>
      <c r="B4" s="621" t="s">
        <v>336</v>
      </c>
      <c r="C4" s="622"/>
      <c r="D4" s="616" t="s">
        <v>207</v>
      </c>
      <c r="E4" s="617"/>
      <c r="F4" s="616" t="s">
        <v>188</v>
      </c>
      <c r="G4" s="617"/>
      <c r="H4" s="618" t="s">
        <v>190</v>
      </c>
      <c r="I4" s="617"/>
      <c r="J4" s="618" t="s">
        <v>208</v>
      </c>
      <c r="K4" s="617"/>
      <c r="L4" s="616" t="s">
        <v>198</v>
      </c>
      <c r="M4" s="617"/>
      <c r="N4" s="618" t="s">
        <v>194</v>
      </c>
      <c r="O4" s="619"/>
      <c r="P4" s="296"/>
      <c r="Q4" s="296"/>
      <c r="R4" s="296"/>
    </row>
    <row r="5" spans="1:18" ht="21.75" customHeight="1">
      <c r="A5" s="620"/>
      <c r="B5" s="623"/>
      <c r="C5" s="624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9"/>
      <c r="O5" s="619"/>
      <c r="P5" s="296"/>
      <c r="Q5" s="296"/>
      <c r="R5" s="296"/>
    </row>
    <row r="6" spans="1:15" ht="21.75" customHeight="1">
      <c r="A6" s="620"/>
      <c r="B6" s="297" t="s">
        <v>184</v>
      </c>
      <c r="C6" s="297" t="s">
        <v>8</v>
      </c>
      <c r="D6" s="297" t="s">
        <v>184</v>
      </c>
      <c r="E6" s="297" t="s">
        <v>8</v>
      </c>
      <c r="F6" s="297" t="s">
        <v>184</v>
      </c>
      <c r="G6" s="297" t="s">
        <v>8</v>
      </c>
      <c r="H6" s="297" t="s">
        <v>184</v>
      </c>
      <c r="I6" s="297" t="s">
        <v>8</v>
      </c>
      <c r="J6" s="297" t="s">
        <v>184</v>
      </c>
      <c r="K6" s="297" t="s">
        <v>8</v>
      </c>
      <c r="L6" s="297" t="s">
        <v>184</v>
      </c>
      <c r="M6" s="297" t="s">
        <v>8</v>
      </c>
      <c r="N6" s="297" t="s">
        <v>184</v>
      </c>
      <c r="O6" s="297" t="s">
        <v>8</v>
      </c>
    </row>
    <row r="7" spans="1:15" ht="20.25" customHeight="1">
      <c r="A7" s="246" t="s">
        <v>47</v>
      </c>
      <c r="B7" s="298">
        <f>SUM(B8:B12)</f>
        <v>13127249924</v>
      </c>
      <c r="C7" s="299">
        <f aca="true" t="shared" si="0" ref="C7:C36">(B7/B$7)*100</f>
        <v>100</v>
      </c>
      <c r="D7" s="300">
        <f>SUM(D8:D12)</f>
        <v>12226079169</v>
      </c>
      <c r="E7" s="299">
        <f aca="true" t="shared" si="1" ref="E7:E36">(D7/D$7)*100</f>
        <v>100</v>
      </c>
      <c r="F7" s="300">
        <f>SUM(F8:F12)</f>
        <v>151242144</v>
      </c>
      <c r="G7" s="299">
        <f aca="true" t="shared" si="2" ref="G7:G36">(F7/F$7)*100</f>
        <v>100</v>
      </c>
      <c r="H7" s="300">
        <f>SUM(H8:H12)</f>
        <v>159256015</v>
      </c>
      <c r="I7" s="299">
        <f aca="true" t="shared" si="3" ref="I7:I36">(H7/H$7)*100</f>
        <v>100</v>
      </c>
      <c r="J7" s="300">
        <f>SUM(J8:J12)</f>
        <v>141412347</v>
      </c>
      <c r="K7" s="301">
        <f aca="true" t="shared" si="4" ref="K7:K36">(J7/J$7)*100</f>
        <v>100</v>
      </c>
      <c r="L7" s="300">
        <f>SUM(L8:L12)</f>
        <v>95861089</v>
      </c>
      <c r="M7" s="299">
        <f aca="true" t="shared" si="5" ref="M7:M36">(L7/L$7)*100</f>
        <v>100</v>
      </c>
      <c r="N7" s="298">
        <f>SUM(N8:N12)</f>
        <v>353399160</v>
      </c>
      <c r="O7" s="245">
        <f aca="true" t="shared" si="6" ref="O7:O36">(N7/N$7)*100</f>
        <v>100</v>
      </c>
    </row>
    <row r="8" spans="1:15" ht="20.25" customHeight="1">
      <c r="A8" s="227" t="s">
        <v>48</v>
      </c>
      <c r="B8" s="242">
        <f>D8+F8+H8+J8+L8+N8</f>
        <v>12367569148</v>
      </c>
      <c r="C8" s="243">
        <f t="shared" si="0"/>
        <v>94.21294802492403</v>
      </c>
      <c r="D8" s="302">
        <v>12226079169</v>
      </c>
      <c r="E8" s="243">
        <f t="shared" si="1"/>
        <v>100</v>
      </c>
      <c r="F8" s="302">
        <v>141489979</v>
      </c>
      <c r="G8" s="243">
        <f t="shared" si="2"/>
        <v>93.55195268853105</v>
      </c>
      <c r="H8" s="303">
        <v>0</v>
      </c>
      <c r="I8" s="243">
        <f t="shared" si="3"/>
        <v>0</v>
      </c>
      <c r="J8" s="242">
        <v>0</v>
      </c>
      <c r="K8" s="243">
        <f t="shared" si="4"/>
        <v>0</v>
      </c>
      <c r="L8" s="242">
        <v>0</v>
      </c>
      <c r="M8" s="243">
        <f t="shared" si="5"/>
        <v>0</v>
      </c>
      <c r="N8" s="242">
        <v>0</v>
      </c>
      <c r="O8" s="243">
        <f t="shared" si="6"/>
        <v>0</v>
      </c>
    </row>
    <row r="9" spans="1:15" ht="20.25" customHeight="1">
      <c r="A9" s="227" t="s">
        <v>49</v>
      </c>
      <c r="B9" s="242">
        <f aca="true" t="shared" si="7" ref="B9:B19">D9+F9+H9+J9+L9+N9</f>
        <v>70692895</v>
      </c>
      <c r="C9" s="243">
        <f t="shared" si="0"/>
        <v>0.5385202186998448</v>
      </c>
      <c r="D9" s="304">
        <v>0</v>
      </c>
      <c r="E9" s="243">
        <v>0</v>
      </c>
      <c r="F9" s="303">
        <v>0</v>
      </c>
      <c r="G9" s="243">
        <f t="shared" si="2"/>
        <v>0</v>
      </c>
      <c r="H9" s="303">
        <v>0</v>
      </c>
      <c r="I9" s="243">
        <f t="shared" si="3"/>
        <v>0</v>
      </c>
      <c r="J9" s="242">
        <v>0</v>
      </c>
      <c r="K9" s="243">
        <f t="shared" si="4"/>
        <v>0</v>
      </c>
      <c r="L9" s="242">
        <v>0</v>
      </c>
      <c r="M9" s="243">
        <f t="shared" si="5"/>
        <v>0</v>
      </c>
      <c r="N9" s="242">
        <v>70692895</v>
      </c>
      <c r="O9" s="243">
        <f t="shared" si="6"/>
        <v>20.00369638682786</v>
      </c>
    </row>
    <row r="10" spans="1:15" ht="20.25" customHeight="1">
      <c r="A10" s="227" t="s">
        <v>50</v>
      </c>
      <c r="B10" s="242">
        <f t="shared" si="7"/>
        <v>122984027</v>
      </c>
      <c r="C10" s="243">
        <f t="shared" si="0"/>
        <v>0.9368605588528749</v>
      </c>
      <c r="D10" s="304">
        <v>0</v>
      </c>
      <c r="E10" s="243">
        <v>0</v>
      </c>
      <c r="F10" s="303">
        <v>0</v>
      </c>
      <c r="G10" s="243">
        <f t="shared" si="2"/>
        <v>0</v>
      </c>
      <c r="H10" s="303">
        <v>0</v>
      </c>
      <c r="I10" s="243">
        <f t="shared" si="3"/>
        <v>0</v>
      </c>
      <c r="J10" s="242">
        <v>58412347</v>
      </c>
      <c r="K10" s="243">
        <f t="shared" si="4"/>
        <v>41.30639808983582</v>
      </c>
      <c r="L10" s="242">
        <v>64571680</v>
      </c>
      <c r="M10" s="243">
        <f t="shared" si="5"/>
        <v>67.3596353573659</v>
      </c>
      <c r="N10" s="242">
        <v>0</v>
      </c>
      <c r="O10" s="243">
        <f t="shared" si="6"/>
        <v>0</v>
      </c>
    </row>
    <row r="11" spans="1:15" ht="20.25" customHeight="1">
      <c r="A11" s="227" t="s">
        <v>51</v>
      </c>
      <c r="B11" s="242">
        <f t="shared" si="7"/>
        <v>36256015</v>
      </c>
      <c r="C11" s="243">
        <f t="shared" si="0"/>
        <v>0.2761889596823677</v>
      </c>
      <c r="D11" s="304">
        <v>0</v>
      </c>
      <c r="E11" s="243">
        <v>0</v>
      </c>
      <c r="F11" s="303">
        <v>0</v>
      </c>
      <c r="G11" s="243">
        <f t="shared" si="2"/>
        <v>0</v>
      </c>
      <c r="H11" s="302">
        <v>36256015</v>
      </c>
      <c r="I11" s="243">
        <f t="shared" si="3"/>
        <v>22.765868529361356</v>
      </c>
      <c r="J11" s="242">
        <v>0</v>
      </c>
      <c r="K11" s="243"/>
      <c r="L11" s="242">
        <v>0</v>
      </c>
      <c r="M11" s="243">
        <f t="shared" si="5"/>
        <v>0</v>
      </c>
      <c r="N11" s="242">
        <v>0</v>
      </c>
      <c r="O11" s="243">
        <f t="shared" si="6"/>
        <v>0</v>
      </c>
    </row>
    <row r="12" spans="1:15" ht="20.25" customHeight="1">
      <c r="A12" s="227" t="s">
        <v>197</v>
      </c>
      <c r="B12" s="242">
        <f t="shared" si="7"/>
        <v>529747839</v>
      </c>
      <c r="C12" s="243">
        <f t="shared" si="0"/>
        <v>4.035482237840877</v>
      </c>
      <c r="D12" s="304">
        <v>0</v>
      </c>
      <c r="E12" s="243">
        <v>0</v>
      </c>
      <c r="F12" s="302">
        <v>9752165</v>
      </c>
      <c r="G12" s="243">
        <f t="shared" si="2"/>
        <v>6.448047311468952</v>
      </c>
      <c r="H12" s="302">
        <v>123000000</v>
      </c>
      <c r="I12" s="243">
        <f t="shared" si="3"/>
        <v>77.23413147063864</v>
      </c>
      <c r="J12" s="302">
        <v>83000000</v>
      </c>
      <c r="K12" s="243">
        <f t="shared" si="4"/>
        <v>58.69360191016418</v>
      </c>
      <c r="L12" s="242">
        <v>31289409</v>
      </c>
      <c r="M12" s="243">
        <f t="shared" si="5"/>
        <v>32.6403646426341</v>
      </c>
      <c r="N12" s="242">
        <v>282706265</v>
      </c>
      <c r="O12" s="243">
        <f t="shared" si="6"/>
        <v>79.99630361317213</v>
      </c>
    </row>
    <row r="13" spans="1:15" ht="20.25" customHeight="1">
      <c r="A13" s="246" t="s">
        <v>52</v>
      </c>
      <c r="B13" s="305">
        <f>SUM(B14:B19)</f>
        <v>6750948086</v>
      </c>
      <c r="C13" s="245">
        <f t="shared" si="0"/>
        <v>51.42697918516448</v>
      </c>
      <c r="D13" s="306">
        <f>SUM(D14:D19)</f>
        <v>5807775556</v>
      </c>
      <c r="E13" s="245">
        <f t="shared" si="1"/>
        <v>47.503173140952526</v>
      </c>
      <c r="F13" s="306">
        <f>SUM(F14:F19)</f>
        <v>162916245</v>
      </c>
      <c r="G13" s="245">
        <f t="shared" si="2"/>
        <v>107.71881480336592</v>
      </c>
      <c r="H13" s="306">
        <f>SUM(H14:H19)</f>
        <v>135110147</v>
      </c>
      <c r="I13" s="245">
        <f t="shared" si="3"/>
        <v>84.83833216597816</v>
      </c>
      <c r="J13" s="306">
        <f>SUM(J14:J19)</f>
        <v>153234316</v>
      </c>
      <c r="K13" s="245">
        <f t="shared" si="4"/>
        <v>108.35992701542531</v>
      </c>
      <c r="L13" s="305">
        <f>SUM(L14:L19)</f>
        <v>97863577</v>
      </c>
      <c r="M13" s="245">
        <f t="shared" si="5"/>
        <v>102.08894768554111</v>
      </c>
      <c r="N13" s="305">
        <f>SUM(N14:N19)</f>
        <v>394048245</v>
      </c>
      <c r="O13" s="245">
        <f t="shared" si="6"/>
        <v>111.50231511585935</v>
      </c>
    </row>
    <row r="14" spans="1:15" ht="20.25" customHeight="1">
      <c r="A14" s="227" t="s">
        <v>53</v>
      </c>
      <c r="B14" s="242">
        <f t="shared" si="7"/>
        <v>5962735551</v>
      </c>
      <c r="C14" s="243">
        <f t="shared" si="0"/>
        <v>45.422579637937574</v>
      </c>
      <c r="D14" s="302">
        <v>5807775556</v>
      </c>
      <c r="E14" s="243">
        <f t="shared" si="1"/>
        <v>47.503173140952526</v>
      </c>
      <c r="F14" s="302">
        <v>154959995</v>
      </c>
      <c r="G14" s="243">
        <f t="shared" si="2"/>
        <v>102.45821098648271</v>
      </c>
      <c r="H14" s="303">
        <v>0</v>
      </c>
      <c r="I14" s="243">
        <f t="shared" si="3"/>
        <v>0</v>
      </c>
      <c r="J14" s="303">
        <v>0</v>
      </c>
      <c r="K14" s="243">
        <f t="shared" si="4"/>
        <v>0</v>
      </c>
      <c r="L14" s="242">
        <v>0</v>
      </c>
      <c r="M14" s="243">
        <f>(L14/L$7)*100</f>
        <v>0</v>
      </c>
      <c r="N14" s="242">
        <v>0</v>
      </c>
      <c r="O14" s="245">
        <f t="shared" si="6"/>
        <v>0</v>
      </c>
    </row>
    <row r="15" spans="1:15" ht="20.25" customHeight="1">
      <c r="A15" s="227" t="s">
        <v>279</v>
      </c>
      <c r="B15" s="242">
        <f t="shared" si="7"/>
        <v>0</v>
      </c>
      <c r="C15" s="243">
        <f t="shared" si="0"/>
        <v>0</v>
      </c>
      <c r="D15" s="242">
        <v>0</v>
      </c>
      <c r="E15" s="243">
        <f t="shared" si="1"/>
        <v>0</v>
      </c>
      <c r="F15" s="303">
        <v>0</v>
      </c>
      <c r="G15" s="243">
        <f t="shared" si="2"/>
        <v>0</v>
      </c>
      <c r="H15" s="303">
        <v>0</v>
      </c>
      <c r="I15" s="243">
        <f t="shared" si="3"/>
        <v>0</v>
      </c>
      <c r="J15" s="303">
        <v>0</v>
      </c>
      <c r="K15" s="243">
        <f t="shared" si="4"/>
        <v>0</v>
      </c>
      <c r="L15" s="242">
        <v>0</v>
      </c>
      <c r="M15" s="243">
        <f t="shared" si="5"/>
        <v>0</v>
      </c>
      <c r="N15" s="242">
        <v>0</v>
      </c>
      <c r="O15" s="245">
        <f t="shared" si="6"/>
        <v>0</v>
      </c>
    </row>
    <row r="16" spans="1:15" ht="20.25" customHeight="1">
      <c r="A16" s="227" t="s">
        <v>14</v>
      </c>
      <c r="B16" s="242">
        <f t="shared" si="7"/>
        <v>317271283</v>
      </c>
      <c r="C16" s="243">
        <f t="shared" si="0"/>
        <v>2.4168907032077316</v>
      </c>
      <c r="D16" s="242">
        <v>0</v>
      </c>
      <c r="E16" s="243">
        <f t="shared" si="1"/>
        <v>0</v>
      </c>
      <c r="F16" s="303">
        <v>0</v>
      </c>
      <c r="G16" s="243">
        <f t="shared" si="2"/>
        <v>0</v>
      </c>
      <c r="H16" s="303">
        <v>0</v>
      </c>
      <c r="I16" s="243">
        <f t="shared" si="3"/>
        <v>0</v>
      </c>
      <c r="J16" s="303">
        <v>0</v>
      </c>
      <c r="K16" s="243">
        <f t="shared" si="4"/>
        <v>0</v>
      </c>
      <c r="L16" s="242">
        <v>0</v>
      </c>
      <c r="M16" s="243">
        <f t="shared" si="5"/>
        <v>0</v>
      </c>
      <c r="N16" s="242">
        <v>317271283</v>
      </c>
      <c r="O16" s="243">
        <f t="shared" si="6"/>
        <v>89.77703370885204</v>
      </c>
    </row>
    <row r="17" spans="1:15" ht="20.25" customHeight="1">
      <c r="A17" s="227" t="s">
        <v>54</v>
      </c>
      <c r="B17" s="242">
        <f t="shared" si="7"/>
        <v>223919193</v>
      </c>
      <c r="C17" s="243">
        <f t="shared" si="0"/>
        <v>1.7057585884048563</v>
      </c>
      <c r="D17" s="242">
        <v>0</v>
      </c>
      <c r="E17" s="243">
        <f t="shared" si="1"/>
        <v>0</v>
      </c>
      <c r="F17" s="303">
        <v>0</v>
      </c>
      <c r="G17" s="243">
        <f t="shared" si="2"/>
        <v>0</v>
      </c>
      <c r="H17" s="303">
        <v>0</v>
      </c>
      <c r="I17" s="243">
        <f t="shared" si="3"/>
        <v>0</v>
      </c>
      <c r="J17" s="302">
        <v>153234316</v>
      </c>
      <c r="K17" s="243">
        <f t="shared" si="4"/>
        <v>108.35992701542531</v>
      </c>
      <c r="L17" s="242">
        <v>70684877</v>
      </c>
      <c r="M17" s="243">
        <f t="shared" si="5"/>
        <v>73.73677655591833</v>
      </c>
      <c r="N17" s="242">
        <v>0</v>
      </c>
      <c r="O17" s="245">
        <f t="shared" si="6"/>
        <v>0</v>
      </c>
    </row>
    <row r="18" spans="1:15" ht="20.25" customHeight="1">
      <c r="A18" s="227" t="s">
        <v>55</v>
      </c>
      <c r="B18" s="242">
        <f t="shared" si="7"/>
        <v>135110147</v>
      </c>
      <c r="C18" s="243">
        <f t="shared" si="0"/>
        <v>1.0292342096190596</v>
      </c>
      <c r="D18" s="242">
        <v>0</v>
      </c>
      <c r="E18" s="243">
        <f t="shared" si="1"/>
        <v>0</v>
      </c>
      <c r="F18" s="303">
        <v>0</v>
      </c>
      <c r="G18" s="243">
        <f t="shared" si="2"/>
        <v>0</v>
      </c>
      <c r="H18" s="302">
        <v>135110147</v>
      </c>
      <c r="I18" s="243">
        <f t="shared" si="3"/>
        <v>84.83833216597816</v>
      </c>
      <c r="J18" s="242">
        <v>0</v>
      </c>
      <c r="K18" s="243">
        <f t="shared" si="4"/>
        <v>0</v>
      </c>
      <c r="L18" s="242">
        <v>0</v>
      </c>
      <c r="M18" s="243">
        <v>0</v>
      </c>
      <c r="N18" s="242">
        <v>0</v>
      </c>
      <c r="O18" s="245">
        <f t="shared" si="6"/>
        <v>0</v>
      </c>
    </row>
    <row r="19" spans="1:15" ht="20.25" customHeight="1">
      <c r="A19" s="227" t="s">
        <v>56</v>
      </c>
      <c r="B19" s="242">
        <f t="shared" si="7"/>
        <v>111911912</v>
      </c>
      <c r="C19" s="243">
        <f t="shared" si="0"/>
        <v>0.8525160459952555</v>
      </c>
      <c r="D19" s="242">
        <v>0</v>
      </c>
      <c r="E19" s="243">
        <f t="shared" si="1"/>
        <v>0</v>
      </c>
      <c r="F19" s="302">
        <v>7956250</v>
      </c>
      <c r="G19" s="243">
        <f t="shared" si="2"/>
        <v>5.26060381688321</v>
      </c>
      <c r="H19" s="303">
        <v>0</v>
      </c>
      <c r="I19" s="243">
        <f t="shared" si="3"/>
        <v>0</v>
      </c>
      <c r="J19" s="242">
        <v>0</v>
      </c>
      <c r="K19" s="243">
        <f t="shared" si="4"/>
        <v>0</v>
      </c>
      <c r="L19" s="242">
        <v>27178700</v>
      </c>
      <c r="M19" s="243">
        <f t="shared" si="5"/>
        <v>28.352171129622782</v>
      </c>
      <c r="N19" s="242">
        <v>76776962</v>
      </c>
      <c r="O19" s="243">
        <f t="shared" si="6"/>
        <v>21.725281407007305</v>
      </c>
    </row>
    <row r="20" spans="1:15" ht="20.25" customHeight="1">
      <c r="A20" s="246" t="s">
        <v>280</v>
      </c>
      <c r="B20" s="305">
        <f>B7-B13</f>
        <v>6376301838</v>
      </c>
      <c r="C20" s="245">
        <f t="shared" si="0"/>
        <v>48.57302081483552</v>
      </c>
      <c r="D20" s="306">
        <f>D7-D13</f>
        <v>6418303613</v>
      </c>
      <c r="E20" s="245">
        <f t="shared" si="1"/>
        <v>52.496826859047474</v>
      </c>
      <c r="F20" s="306">
        <f>F7-F13</f>
        <v>-11674101</v>
      </c>
      <c r="G20" s="245">
        <f t="shared" si="2"/>
        <v>-7.718814803365919</v>
      </c>
      <c r="H20" s="305">
        <f>H7-H13</f>
        <v>24145868</v>
      </c>
      <c r="I20" s="245">
        <f t="shared" si="3"/>
        <v>15.161667834021841</v>
      </c>
      <c r="J20" s="306">
        <f>J7-J13</f>
        <v>-11821969</v>
      </c>
      <c r="K20" s="245">
        <f t="shared" si="4"/>
        <v>-8.359927015425322</v>
      </c>
      <c r="L20" s="306">
        <f>L7-L13</f>
        <v>-2002488</v>
      </c>
      <c r="M20" s="245">
        <f t="shared" si="5"/>
        <v>-2.088947685541106</v>
      </c>
      <c r="N20" s="306">
        <f>N7-N13</f>
        <v>-40649085</v>
      </c>
      <c r="O20" s="245">
        <f t="shared" si="6"/>
        <v>-11.502315115859359</v>
      </c>
    </row>
    <row r="21" spans="1:15" ht="20.25" customHeight="1">
      <c r="A21" s="246" t="s">
        <v>334</v>
      </c>
      <c r="B21" s="305">
        <f>SUM(B22:B25)</f>
        <v>5733858546</v>
      </c>
      <c r="C21" s="245">
        <f t="shared" si="0"/>
        <v>43.67905371799943</v>
      </c>
      <c r="D21" s="306">
        <f>SUM(D22:D25)</f>
        <v>5557567525</v>
      </c>
      <c r="E21" s="245">
        <f t="shared" si="1"/>
        <v>45.45666233776373</v>
      </c>
      <c r="F21" s="306">
        <f>SUM(F22:F25)</f>
        <v>38140430</v>
      </c>
      <c r="G21" s="245">
        <f t="shared" si="2"/>
        <v>25.218123064957343</v>
      </c>
      <c r="H21" s="305">
        <f>SUM(H22:H25)</f>
        <v>31233020</v>
      </c>
      <c r="I21" s="245">
        <f t="shared" si="3"/>
        <v>19.61183067402509</v>
      </c>
      <c r="J21" s="305">
        <f>SUM(J22:J25)</f>
        <v>56112650</v>
      </c>
      <c r="K21" s="245">
        <f t="shared" si="4"/>
        <v>39.68016314728162</v>
      </c>
      <c r="L21" s="305">
        <f>SUM(L22:L25)</f>
        <v>4626671</v>
      </c>
      <c r="M21" s="245">
        <f t="shared" si="5"/>
        <v>4.826432756256295</v>
      </c>
      <c r="N21" s="305">
        <f>SUM(N22:N25)</f>
        <v>46178250</v>
      </c>
      <c r="O21" s="245">
        <f t="shared" si="6"/>
        <v>13.066881653029396</v>
      </c>
    </row>
    <row r="22" spans="1:15" ht="20.25" customHeight="1">
      <c r="A22" s="227" t="s">
        <v>57</v>
      </c>
      <c r="B22" s="242">
        <f>D22+F22+H22+J22+L22+N22</f>
        <v>373112864</v>
      </c>
      <c r="C22" s="243">
        <f t="shared" si="0"/>
        <v>2.8422774469910363</v>
      </c>
      <c r="D22" s="302">
        <v>369782739</v>
      </c>
      <c r="E22" s="243">
        <f t="shared" si="1"/>
        <v>3.0245406878896026</v>
      </c>
      <c r="F22" s="302">
        <v>3330125</v>
      </c>
      <c r="G22" s="243">
        <f t="shared" si="2"/>
        <v>2.2018499023658378</v>
      </c>
      <c r="H22" s="242">
        <v>0</v>
      </c>
      <c r="I22" s="243">
        <f t="shared" si="3"/>
        <v>0</v>
      </c>
      <c r="J22" s="242">
        <v>0</v>
      </c>
      <c r="K22" s="243">
        <f t="shared" si="4"/>
        <v>0</v>
      </c>
      <c r="L22" s="242">
        <v>0</v>
      </c>
      <c r="M22" s="245">
        <f t="shared" si="5"/>
        <v>0</v>
      </c>
      <c r="N22" s="242">
        <v>0</v>
      </c>
      <c r="O22" s="243">
        <f t="shared" si="6"/>
        <v>0</v>
      </c>
    </row>
    <row r="23" spans="1:15" ht="20.25" customHeight="1">
      <c r="A23" s="227" t="s">
        <v>58</v>
      </c>
      <c r="B23" s="242">
        <f>D23+F23+H23+J23+L23+N23</f>
        <v>66736329</v>
      </c>
      <c r="C23" s="243">
        <f t="shared" si="0"/>
        <v>0.508380120637368</v>
      </c>
      <c r="D23" s="303">
        <v>0</v>
      </c>
      <c r="E23" s="243">
        <f t="shared" si="1"/>
        <v>0</v>
      </c>
      <c r="F23" s="303">
        <v>0</v>
      </c>
      <c r="G23" s="243">
        <f t="shared" si="2"/>
        <v>0</v>
      </c>
      <c r="H23" s="242">
        <v>6248375</v>
      </c>
      <c r="I23" s="243">
        <f t="shared" si="3"/>
        <v>3.923478180714242</v>
      </c>
      <c r="J23" s="242">
        <v>41656251</v>
      </c>
      <c r="K23" s="243">
        <f t="shared" si="4"/>
        <v>29.457294135709382</v>
      </c>
      <c r="L23" s="242">
        <v>0</v>
      </c>
      <c r="M23" s="245">
        <f t="shared" si="5"/>
        <v>0</v>
      </c>
      <c r="N23" s="242">
        <v>18831703</v>
      </c>
      <c r="O23" s="243">
        <f t="shared" si="6"/>
        <v>5.3287345108573545</v>
      </c>
    </row>
    <row r="24" spans="1:15" ht="20.25" customHeight="1">
      <c r="A24" s="227" t="s">
        <v>59</v>
      </c>
      <c r="B24" s="242">
        <f>D24+F24+H24+J24+L24+N24</f>
        <v>5254248648</v>
      </c>
      <c r="C24" s="243">
        <f t="shared" si="0"/>
        <v>40.02550936730379</v>
      </c>
      <c r="D24" s="302">
        <v>5150958830</v>
      </c>
      <c r="E24" s="243">
        <f t="shared" si="1"/>
        <v>42.130913425299774</v>
      </c>
      <c r="F24" s="302">
        <v>31875556</v>
      </c>
      <c r="G24" s="243">
        <f t="shared" si="2"/>
        <v>21.075842458303157</v>
      </c>
      <c r="H24" s="242">
        <v>24984645</v>
      </c>
      <c r="I24" s="243">
        <f t="shared" si="3"/>
        <v>15.68835249331085</v>
      </c>
      <c r="J24" s="242">
        <v>14456399</v>
      </c>
      <c r="K24" s="243">
        <f t="shared" si="4"/>
        <v>10.222869011572236</v>
      </c>
      <c r="L24" s="242">
        <v>4626671</v>
      </c>
      <c r="M24" s="243">
        <f t="shared" si="5"/>
        <v>4.826432756256295</v>
      </c>
      <c r="N24" s="242">
        <v>27346547</v>
      </c>
      <c r="O24" s="243">
        <f t="shared" si="6"/>
        <v>7.738147142172042</v>
      </c>
    </row>
    <row r="25" spans="1:15" ht="20.25" customHeight="1">
      <c r="A25" s="227" t="s">
        <v>60</v>
      </c>
      <c r="B25" s="242">
        <f>D25+F25+H25+J25+L25+N25</f>
        <v>39760705</v>
      </c>
      <c r="C25" s="243">
        <f t="shared" si="0"/>
        <v>0.30288678306723765</v>
      </c>
      <c r="D25" s="302">
        <v>36825956</v>
      </c>
      <c r="E25" s="243">
        <f t="shared" si="1"/>
        <v>0.30120822457435537</v>
      </c>
      <c r="F25" s="302">
        <v>2934749</v>
      </c>
      <c r="G25" s="243">
        <f t="shared" si="2"/>
        <v>1.9404307042883497</v>
      </c>
      <c r="H25" s="242">
        <v>0</v>
      </c>
      <c r="I25" s="243">
        <f t="shared" si="3"/>
        <v>0</v>
      </c>
      <c r="J25" s="242">
        <v>0</v>
      </c>
      <c r="K25" s="243">
        <f t="shared" si="4"/>
        <v>0</v>
      </c>
      <c r="L25" s="242">
        <v>0</v>
      </c>
      <c r="M25" s="243">
        <v>0</v>
      </c>
      <c r="N25" s="242">
        <v>0</v>
      </c>
      <c r="O25" s="243">
        <f t="shared" si="6"/>
        <v>0</v>
      </c>
    </row>
    <row r="26" spans="1:15" ht="20.25" customHeight="1">
      <c r="A26" s="246" t="s">
        <v>248</v>
      </c>
      <c r="B26" s="305">
        <f>B20-B21</f>
        <v>642443292</v>
      </c>
      <c r="C26" s="245">
        <f t="shared" si="0"/>
        <v>4.893967096836086</v>
      </c>
      <c r="D26" s="306">
        <f>D20-D21</f>
        <v>860736088</v>
      </c>
      <c r="E26" s="245">
        <f t="shared" si="1"/>
        <v>7.040164521283741</v>
      </c>
      <c r="F26" s="306">
        <f>F20-F21</f>
        <v>-49814531</v>
      </c>
      <c r="G26" s="245">
        <f t="shared" si="2"/>
        <v>-32.93693786832326</v>
      </c>
      <c r="H26" s="306">
        <f>H20-H21</f>
        <v>-7087152</v>
      </c>
      <c r="I26" s="245">
        <f t="shared" si="3"/>
        <v>-4.450162840003249</v>
      </c>
      <c r="J26" s="306">
        <f>J20-J21</f>
        <v>-67934619</v>
      </c>
      <c r="K26" s="245">
        <f t="shared" si="4"/>
        <v>-48.04009016270694</v>
      </c>
      <c r="L26" s="306">
        <f>L20-L21</f>
        <v>-6629159</v>
      </c>
      <c r="M26" s="245">
        <f t="shared" si="5"/>
        <v>-6.915380441797401</v>
      </c>
      <c r="N26" s="306">
        <f>N20-N21</f>
        <v>-86827335</v>
      </c>
      <c r="O26" s="245">
        <f t="shared" si="6"/>
        <v>-24.569196768888755</v>
      </c>
    </row>
    <row r="27" spans="1:15" ht="20.25" customHeight="1">
      <c r="A27" s="246" t="s">
        <v>174</v>
      </c>
      <c r="B27" s="305">
        <f>SUM(B28:B29)</f>
        <v>241138226</v>
      </c>
      <c r="C27" s="245">
        <f t="shared" si="0"/>
        <v>1.8369287352344614</v>
      </c>
      <c r="D27" s="306">
        <f>D28+D29</f>
        <v>113836494</v>
      </c>
      <c r="E27" s="245">
        <f t="shared" si="1"/>
        <v>0.9310956720175644</v>
      </c>
      <c r="F27" s="306">
        <f>F28+F29</f>
        <v>4112548</v>
      </c>
      <c r="G27" s="245">
        <f t="shared" si="2"/>
        <v>2.7191812356217326</v>
      </c>
      <c r="H27" s="305">
        <f>H28+H29</f>
        <v>2645439</v>
      </c>
      <c r="I27" s="245">
        <f t="shared" si="3"/>
        <v>1.6611234432809336</v>
      </c>
      <c r="J27" s="305">
        <f>J28+J29</f>
        <v>32241714</v>
      </c>
      <c r="K27" s="245">
        <f t="shared" si="4"/>
        <v>22.799787065269484</v>
      </c>
      <c r="L27" s="305">
        <f>L28+L29</f>
        <v>6972355</v>
      </c>
      <c r="M27" s="245">
        <f t="shared" si="5"/>
        <v>7.273394317479536</v>
      </c>
      <c r="N27" s="305">
        <f>N28+N29</f>
        <v>81329676</v>
      </c>
      <c r="O27" s="245">
        <f t="shared" si="6"/>
        <v>23.01354536326572</v>
      </c>
    </row>
    <row r="28" spans="1:15" ht="20.25" customHeight="1">
      <c r="A28" s="227" t="s">
        <v>61</v>
      </c>
      <c r="B28" s="242">
        <f>D28+F28+H28+J28+L28+N28</f>
        <v>51254178</v>
      </c>
      <c r="C28" s="243">
        <f t="shared" si="0"/>
        <v>0.39044109235929253</v>
      </c>
      <c r="D28" s="302">
        <v>43375409</v>
      </c>
      <c r="E28" s="243">
        <f t="shared" si="1"/>
        <v>0.3547777533616918</v>
      </c>
      <c r="F28" s="302">
        <v>203453</v>
      </c>
      <c r="G28" s="243">
        <f t="shared" si="2"/>
        <v>0.13452136727181016</v>
      </c>
      <c r="H28" s="242">
        <v>958978</v>
      </c>
      <c r="I28" s="243">
        <f t="shared" si="3"/>
        <v>0.6021612433288627</v>
      </c>
      <c r="J28" s="242">
        <v>6091686</v>
      </c>
      <c r="K28" s="243">
        <f t="shared" si="4"/>
        <v>4.307746904165306</v>
      </c>
      <c r="L28" s="242">
        <v>350257</v>
      </c>
      <c r="M28" s="243">
        <f t="shared" si="5"/>
        <v>0.36537974234780496</v>
      </c>
      <c r="N28" s="242">
        <v>274395</v>
      </c>
      <c r="O28" s="243">
        <f t="shared" si="6"/>
        <v>0.07764449694787051</v>
      </c>
    </row>
    <row r="29" spans="1:15" ht="20.25" customHeight="1">
      <c r="A29" s="227" t="s">
        <v>62</v>
      </c>
      <c r="B29" s="242">
        <f>D29+F29+H29+J29+L29+N29</f>
        <v>189884048</v>
      </c>
      <c r="C29" s="243">
        <f t="shared" si="0"/>
        <v>1.446487642875169</v>
      </c>
      <c r="D29" s="302">
        <v>70461085</v>
      </c>
      <c r="E29" s="243">
        <f t="shared" si="1"/>
        <v>0.5763179186558726</v>
      </c>
      <c r="F29" s="302">
        <v>3909095</v>
      </c>
      <c r="G29" s="243">
        <f t="shared" si="2"/>
        <v>2.5846598683499225</v>
      </c>
      <c r="H29" s="242">
        <v>1686461</v>
      </c>
      <c r="I29" s="243">
        <f t="shared" si="3"/>
        <v>1.058962199952071</v>
      </c>
      <c r="J29" s="242">
        <v>26150028</v>
      </c>
      <c r="K29" s="243">
        <f t="shared" si="4"/>
        <v>18.49204016110418</v>
      </c>
      <c r="L29" s="242">
        <v>6622098</v>
      </c>
      <c r="M29" s="243">
        <f t="shared" si="5"/>
        <v>6.908014575131731</v>
      </c>
      <c r="N29" s="242">
        <v>81055281</v>
      </c>
      <c r="O29" s="243">
        <f t="shared" si="6"/>
        <v>22.935900866317848</v>
      </c>
    </row>
    <row r="30" spans="1:15" ht="20.25" customHeight="1">
      <c r="A30" s="246" t="s">
        <v>63</v>
      </c>
      <c r="B30" s="305">
        <f>SUM(B31:B32)</f>
        <v>139541322</v>
      </c>
      <c r="C30" s="245">
        <f t="shared" si="0"/>
        <v>1.062989756482677</v>
      </c>
      <c r="D30" s="306">
        <f>D31+D32</f>
        <v>78517567</v>
      </c>
      <c r="E30" s="245">
        <f t="shared" si="1"/>
        <v>0.6422137949105243</v>
      </c>
      <c r="F30" s="306">
        <f>F31+F32</f>
        <v>11452805</v>
      </c>
      <c r="G30" s="245">
        <f t="shared" si="2"/>
        <v>7.5724957985255745</v>
      </c>
      <c r="H30" s="305">
        <f>H31+H32</f>
        <v>53</v>
      </c>
      <c r="I30" s="245">
        <f t="shared" si="3"/>
        <v>3.3279747706860556E-05</v>
      </c>
      <c r="J30" s="305">
        <f>J31+J32</f>
        <v>310911</v>
      </c>
      <c r="K30" s="245">
        <f t="shared" si="4"/>
        <v>0.2198612826926633</v>
      </c>
      <c r="L30" s="305">
        <f>SUM(L31:L32)</f>
        <v>259986</v>
      </c>
      <c r="M30" s="245">
        <f t="shared" si="5"/>
        <v>0.2712111897664755</v>
      </c>
      <c r="N30" s="305">
        <f>SUM(N31:N32)</f>
        <v>49000000</v>
      </c>
      <c r="O30" s="243">
        <f t="shared" si="6"/>
        <v>13.865341389040086</v>
      </c>
    </row>
    <row r="31" spans="1:15" ht="20.25" customHeight="1">
      <c r="A31" s="227" t="s">
        <v>211</v>
      </c>
      <c r="B31" s="242">
        <f>D31+F31+H31+J31+L31+N31</f>
        <v>47053016</v>
      </c>
      <c r="C31" s="243">
        <f t="shared" si="0"/>
        <v>0.3584377251321691</v>
      </c>
      <c r="D31" s="302">
        <v>47053016</v>
      </c>
      <c r="E31" s="243">
        <f t="shared" si="1"/>
        <v>0.3848577728770636</v>
      </c>
      <c r="F31" s="303">
        <v>0</v>
      </c>
      <c r="G31" s="243">
        <f t="shared" si="2"/>
        <v>0</v>
      </c>
      <c r="H31" s="242">
        <v>0</v>
      </c>
      <c r="I31" s="243">
        <f t="shared" si="3"/>
        <v>0</v>
      </c>
      <c r="J31" s="242">
        <v>0</v>
      </c>
      <c r="K31" s="243">
        <f t="shared" si="4"/>
        <v>0</v>
      </c>
      <c r="L31" s="242">
        <v>0</v>
      </c>
      <c r="M31" s="243">
        <v>0</v>
      </c>
      <c r="N31" s="242">
        <v>0</v>
      </c>
      <c r="O31" s="243">
        <f t="shared" si="6"/>
        <v>0</v>
      </c>
    </row>
    <row r="32" spans="1:15" ht="20.25" customHeight="1">
      <c r="A32" s="227" t="s">
        <v>64</v>
      </c>
      <c r="B32" s="242">
        <f>D32+F32+H32+J32+L32+N32</f>
        <v>92488306</v>
      </c>
      <c r="C32" s="243">
        <f t="shared" si="0"/>
        <v>0.7045520313505078</v>
      </c>
      <c r="D32" s="302">
        <v>31464551</v>
      </c>
      <c r="E32" s="243">
        <f t="shared" si="1"/>
        <v>0.2573560220334608</v>
      </c>
      <c r="F32" s="242">
        <v>11452805</v>
      </c>
      <c r="G32" s="243">
        <f t="shared" si="2"/>
        <v>7.5724957985255745</v>
      </c>
      <c r="H32" s="242">
        <v>53</v>
      </c>
      <c r="I32" s="243">
        <f t="shared" si="3"/>
        <v>3.3279747706860556E-05</v>
      </c>
      <c r="J32" s="242">
        <v>310911</v>
      </c>
      <c r="K32" s="243">
        <f t="shared" si="4"/>
        <v>0.2198612826926633</v>
      </c>
      <c r="L32" s="242">
        <v>259986</v>
      </c>
      <c r="M32" s="243">
        <f t="shared" si="5"/>
        <v>0.2712111897664755</v>
      </c>
      <c r="N32" s="242">
        <v>49000000</v>
      </c>
      <c r="O32" s="243">
        <f t="shared" si="6"/>
        <v>13.865341389040086</v>
      </c>
    </row>
    <row r="33" spans="1:15" ht="20.25" customHeight="1">
      <c r="A33" s="253" t="s">
        <v>6</v>
      </c>
      <c r="B33" s="306">
        <f>B27-B30</f>
        <v>101596904</v>
      </c>
      <c r="C33" s="245">
        <f t="shared" si="0"/>
        <v>0.7739389787517844</v>
      </c>
      <c r="D33" s="306">
        <f>D27-D30</f>
        <v>35318927</v>
      </c>
      <c r="E33" s="245">
        <f t="shared" si="1"/>
        <v>0.28888187710704005</v>
      </c>
      <c r="F33" s="305">
        <f>F27-F30</f>
        <v>-7340257</v>
      </c>
      <c r="G33" s="245">
        <f t="shared" si="2"/>
        <v>-4.853314562903843</v>
      </c>
      <c r="H33" s="305">
        <f>H27-H30</f>
        <v>2645386</v>
      </c>
      <c r="I33" s="245">
        <f t="shared" si="3"/>
        <v>1.6610901635332267</v>
      </c>
      <c r="J33" s="305">
        <f>J27-J30</f>
        <v>31930803</v>
      </c>
      <c r="K33" s="245">
        <f t="shared" si="4"/>
        <v>22.579925782576822</v>
      </c>
      <c r="L33" s="305">
        <f>L27-L30</f>
        <v>6712369</v>
      </c>
      <c r="M33" s="245">
        <f t="shared" si="5"/>
        <v>7.00218312771306</v>
      </c>
      <c r="N33" s="306">
        <f>N27-N30</f>
        <v>32329676</v>
      </c>
      <c r="O33" s="245">
        <f t="shared" si="6"/>
        <v>9.148203974225632</v>
      </c>
    </row>
    <row r="34" spans="1:15" ht="20.25" customHeight="1">
      <c r="A34" s="253" t="s">
        <v>65</v>
      </c>
      <c r="B34" s="305">
        <f>B26+B33</f>
        <v>744040196</v>
      </c>
      <c r="C34" s="245">
        <f t="shared" si="0"/>
        <v>5.66790607558787</v>
      </c>
      <c r="D34" s="306">
        <f>D26+D33</f>
        <v>896055015</v>
      </c>
      <c r="E34" s="245">
        <f t="shared" si="1"/>
        <v>7.32904639839078</v>
      </c>
      <c r="F34" s="306">
        <f>F26+F33</f>
        <v>-57154788</v>
      </c>
      <c r="G34" s="245">
        <f t="shared" si="2"/>
        <v>-37.7902524312271</v>
      </c>
      <c r="H34" s="306">
        <f>H26+H33</f>
        <v>-4441766</v>
      </c>
      <c r="I34" s="245">
        <f t="shared" si="3"/>
        <v>-2.789072676470022</v>
      </c>
      <c r="J34" s="306">
        <f>J26+J33</f>
        <v>-36003816</v>
      </c>
      <c r="K34" s="245">
        <f t="shared" si="4"/>
        <v>-25.460164380130117</v>
      </c>
      <c r="L34" s="306">
        <f>L26+L33</f>
        <v>83210</v>
      </c>
      <c r="M34" s="245">
        <f t="shared" si="5"/>
        <v>0.08680268591565865</v>
      </c>
      <c r="N34" s="306">
        <f>N26+N33</f>
        <v>-54497659</v>
      </c>
      <c r="O34" s="245">
        <f t="shared" si="6"/>
        <v>-15.420992794663121</v>
      </c>
    </row>
    <row r="35" spans="1:15" ht="20.25" customHeight="1">
      <c r="A35" s="227" t="s">
        <v>335</v>
      </c>
      <c r="B35" s="242">
        <f>D35+F35+H35+J35+L35+N35</f>
        <v>144585532</v>
      </c>
      <c r="C35" s="243">
        <f t="shared" si="0"/>
        <v>1.1014152456689374</v>
      </c>
      <c r="D35" s="302">
        <v>144585532</v>
      </c>
      <c r="E35" s="243">
        <f t="shared" si="1"/>
        <v>1.182599343595008</v>
      </c>
      <c r="F35" s="242">
        <v>0</v>
      </c>
      <c r="G35" s="243">
        <f t="shared" si="2"/>
        <v>0</v>
      </c>
      <c r="H35" s="303">
        <v>0</v>
      </c>
      <c r="I35" s="243">
        <f t="shared" si="3"/>
        <v>0</v>
      </c>
      <c r="J35" s="242">
        <v>0</v>
      </c>
      <c r="K35" s="243">
        <f t="shared" si="4"/>
        <v>0</v>
      </c>
      <c r="L35" s="242">
        <v>0</v>
      </c>
      <c r="M35" s="243">
        <f t="shared" si="5"/>
        <v>0</v>
      </c>
      <c r="N35" s="242">
        <v>0</v>
      </c>
      <c r="O35" s="243">
        <f t="shared" si="6"/>
        <v>0</v>
      </c>
    </row>
    <row r="36" spans="1:15" ht="20.25" customHeight="1">
      <c r="A36" s="257" t="s">
        <v>66</v>
      </c>
      <c r="B36" s="307">
        <f>B34-B35</f>
        <v>599454664</v>
      </c>
      <c r="C36" s="256">
        <f t="shared" si="0"/>
        <v>4.566490829918933</v>
      </c>
      <c r="D36" s="308">
        <f>D34-D35</f>
        <v>751469483</v>
      </c>
      <c r="E36" s="256">
        <f t="shared" si="1"/>
        <v>6.146447054795773</v>
      </c>
      <c r="F36" s="308">
        <f>F34-F35</f>
        <v>-57154788</v>
      </c>
      <c r="G36" s="256">
        <f t="shared" si="2"/>
        <v>-37.7902524312271</v>
      </c>
      <c r="H36" s="308">
        <f>H34-H35</f>
        <v>-4441766</v>
      </c>
      <c r="I36" s="256">
        <f t="shared" si="3"/>
        <v>-2.789072676470022</v>
      </c>
      <c r="J36" s="308">
        <f>J34-J35</f>
        <v>-36003816</v>
      </c>
      <c r="K36" s="256">
        <f t="shared" si="4"/>
        <v>-25.460164380130117</v>
      </c>
      <c r="L36" s="308">
        <f>L34-L35</f>
        <v>83210</v>
      </c>
      <c r="M36" s="256">
        <f t="shared" si="5"/>
        <v>0.08680268591565865</v>
      </c>
      <c r="N36" s="308">
        <f>N34-N35</f>
        <v>-54497659</v>
      </c>
      <c r="O36" s="256">
        <f t="shared" si="6"/>
        <v>-15.420992794663121</v>
      </c>
    </row>
    <row r="38" spans="1:7" ht="19.5">
      <c r="A38" s="309" t="s">
        <v>361</v>
      </c>
      <c r="B38" s="309"/>
      <c r="C38" s="309"/>
      <c r="D38" s="309"/>
      <c r="E38" s="309"/>
      <c r="F38" s="309"/>
      <c r="G38" s="309"/>
    </row>
  </sheetData>
  <sheetProtection/>
  <mergeCells count="8">
    <mergeCell ref="L4:M5"/>
    <mergeCell ref="N4:O5"/>
    <mergeCell ref="A4:A6"/>
    <mergeCell ref="B4:C5"/>
    <mergeCell ref="D4:E5"/>
    <mergeCell ref="F4:G5"/>
    <mergeCell ref="H4:I5"/>
    <mergeCell ref="J4:K5"/>
  </mergeCells>
  <printOptions horizontalCentered="1" verticalCentered="1"/>
  <pageMargins left="0.7874015748031497" right="0.7874015748031497" top="0.7874015748031497" bottom="0.7874015748031497" header="0" footer="0.31496062992125984"/>
  <pageSetup firstPageNumber="22" useFirstPageNumber="1" horizontalDpi="600" verticalDpi="600" orientation="portrait" paperSize="9" r:id="rId2"/>
  <headerFooter alignWithMargins="0">
    <oddFooter xml:space="preserve">&amp;C&amp;"標楷體,標準" &amp;"新細明體,標準"&amp;P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6:I16"/>
  <sheetViews>
    <sheetView zoomScalePageLayoutView="0" workbookViewId="0" topLeftCell="A1">
      <selection activeCell="J16" sqref="J16"/>
    </sheetView>
  </sheetViews>
  <sheetFormatPr defaultColWidth="8.75390625" defaultRowHeight="16.5"/>
  <cols>
    <col min="1" max="16384" width="8.75390625" style="1" customWidth="1"/>
  </cols>
  <sheetData>
    <row r="16" spans="1:9" ht="100.5">
      <c r="A16" s="16" t="s">
        <v>386</v>
      </c>
      <c r="B16" s="16"/>
      <c r="C16" s="16"/>
      <c r="D16" s="16"/>
      <c r="E16" s="16"/>
      <c r="F16" s="16"/>
      <c r="G16" s="16"/>
      <c r="H16" s="16"/>
      <c r="I1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6:I16"/>
  <sheetViews>
    <sheetView zoomScalePageLayoutView="0" workbookViewId="0" topLeftCell="A1">
      <selection activeCell="E16" sqref="E16"/>
    </sheetView>
  </sheetViews>
  <sheetFormatPr defaultColWidth="8.75390625" defaultRowHeight="16.5"/>
  <cols>
    <col min="1" max="16384" width="8.75390625" style="1" customWidth="1"/>
  </cols>
  <sheetData>
    <row r="16" spans="1:9" ht="100.5">
      <c r="A16" s="33" t="s">
        <v>387</v>
      </c>
      <c r="B16" s="16"/>
      <c r="C16" s="16"/>
      <c r="D16" s="16"/>
      <c r="E16" s="16"/>
      <c r="F16" s="16"/>
      <c r="G16" s="16"/>
      <c r="H16" s="16"/>
      <c r="I16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8:I18"/>
  <sheetViews>
    <sheetView zoomScalePageLayoutView="0" workbookViewId="0" topLeftCell="A1">
      <selection activeCell="E17" sqref="E17"/>
    </sheetView>
  </sheetViews>
  <sheetFormatPr defaultColWidth="8.75390625" defaultRowHeight="16.5"/>
  <cols>
    <col min="1" max="16384" width="8.75390625" style="1" customWidth="1"/>
  </cols>
  <sheetData>
    <row r="18" spans="1:9" ht="100.5">
      <c r="A18" s="16" t="s">
        <v>388</v>
      </c>
      <c r="B18" s="17"/>
      <c r="C18" s="17"/>
      <c r="D18" s="17"/>
      <c r="E18" s="17"/>
      <c r="F18" s="17"/>
      <c r="G18" s="17"/>
      <c r="H18" s="17"/>
      <c r="I1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7" width="8.75390625" style="1" customWidth="1"/>
    <col min="8" max="8" width="6.625" style="1" customWidth="1"/>
    <col min="9" max="9" width="12.625" style="1" customWidth="1"/>
    <col min="10" max="16384" width="8.75390625" style="1" customWidth="1"/>
  </cols>
  <sheetData>
    <row r="1" spans="1:9" ht="29.25" customHeight="1">
      <c r="A1" s="10" t="s">
        <v>572</v>
      </c>
      <c r="B1" s="9"/>
      <c r="C1" s="9"/>
      <c r="D1" s="9"/>
      <c r="E1" s="9"/>
      <c r="F1" s="9"/>
      <c r="G1" s="9"/>
      <c r="H1" s="9"/>
      <c r="I1" s="9"/>
    </row>
    <row r="2" spans="1:9" ht="21.75" customHeight="1">
      <c r="A2" s="10" t="s">
        <v>314</v>
      </c>
      <c r="B2" s="9"/>
      <c r="C2" s="9"/>
      <c r="D2" s="9"/>
      <c r="E2" s="9"/>
      <c r="F2" s="9"/>
      <c r="G2" s="9"/>
      <c r="H2" s="9"/>
      <c r="I2" s="9"/>
    </row>
    <row r="3" spans="1:9" ht="24.75" customHeight="1">
      <c r="A3" s="10" t="s">
        <v>315</v>
      </c>
      <c r="B3" s="9"/>
      <c r="C3" s="9"/>
      <c r="D3" s="9"/>
      <c r="E3" s="9"/>
      <c r="F3" s="9"/>
      <c r="G3" s="9"/>
      <c r="H3" s="9"/>
      <c r="I3" s="9"/>
    </row>
    <row r="4" spans="1:10" ht="22.5" customHeight="1">
      <c r="A4" s="10" t="s">
        <v>406</v>
      </c>
      <c r="B4" s="10"/>
      <c r="C4" s="10"/>
      <c r="D4" s="10"/>
      <c r="E4" s="10"/>
      <c r="F4" s="10"/>
      <c r="G4" s="10"/>
      <c r="H4" s="10"/>
      <c r="I4" s="10"/>
      <c r="J4" s="21"/>
    </row>
    <row r="5" spans="1:9" ht="22.5" customHeight="1">
      <c r="A5" s="12"/>
      <c r="B5" s="11"/>
      <c r="C5" s="11"/>
      <c r="D5" s="11"/>
      <c r="E5" s="11"/>
      <c r="F5" s="11"/>
      <c r="G5" s="11"/>
      <c r="H5" s="11"/>
      <c r="I5" s="11"/>
    </row>
    <row r="6" spans="1:9" ht="22.5" customHeight="1">
      <c r="A6" s="13" t="s">
        <v>389</v>
      </c>
      <c r="B6" s="13"/>
      <c r="C6" s="13"/>
      <c r="D6" s="13"/>
      <c r="E6" s="13"/>
      <c r="F6" s="13"/>
      <c r="G6" s="13"/>
      <c r="H6" s="13"/>
      <c r="I6" s="14" t="s">
        <v>262</v>
      </c>
    </row>
    <row r="7" spans="1:9" ht="22.5" customHeight="1">
      <c r="A7" s="13"/>
      <c r="B7" s="13"/>
      <c r="C7" s="13"/>
      <c r="D7" s="13"/>
      <c r="E7" s="13"/>
      <c r="F7" s="13"/>
      <c r="G7" s="13"/>
      <c r="H7" s="13"/>
      <c r="I7" s="14"/>
    </row>
    <row r="8" spans="1:9" ht="22.5" customHeight="1">
      <c r="A8" s="13" t="s">
        <v>386</v>
      </c>
      <c r="B8" s="13"/>
      <c r="C8" s="13"/>
      <c r="D8" s="13"/>
      <c r="E8" s="13"/>
      <c r="F8" s="13"/>
      <c r="G8" s="13"/>
      <c r="H8" s="13"/>
      <c r="I8" s="14"/>
    </row>
    <row r="9" spans="1:9" ht="22.5" customHeight="1">
      <c r="A9" s="13"/>
      <c r="B9" s="13"/>
      <c r="C9" s="13"/>
      <c r="D9" s="13"/>
      <c r="E9" s="13"/>
      <c r="F9" s="13"/>
      <c r="G9" s="13"/>
      <c r="H9" s="13"/>
      <c r="I9" s="14"/>
    </row>
    <row r="10" spans="1:9" ht="22.5" customHeight="1">
      <c r="A10" s="13" t="s">
        <v>236</v>
      </c>
      <c r="B10" s="13"/>
      <c r="C10" s="13"/>
      <c r="D10" s="13"/>
      <c r="E10" s="13"/>
      <c r="F10" s="13"/>
      <c r="G10" s="13"/>
      <c r="H10" s="13"/>
      <c r="I10" s="14" t="s">
        <v>542</v>
      </c>
    </row>
    <row r="11" spans="1:9" ht="22.5" customHeight="1">
      <c r="A11" s="13" t="s">
        <v>237</v>
      </c>
      <c r="B11" s="13"/>
      <c r="C11" s="13"/>
      <c r="D11" s="13"/>
      <c r="E11" s="13"/>
      <c r="F11" s="13"/>
      <c r="G11" s="13"/>
      <c r="H11" s="13"/>
      <c r="I11" s="14" t="s">
        <v>263</v>
      </c>
    </row>
    <row r="12" spans="1:9" ht="22.5" customHeight="1">
      <c r="A12" s="13" t="s">
        <v>488</v>
      </c>
      <c r="B12" s="13"/>
      <c r="C12" s="13"/>
      <c r="D12" s="13"/>
      <c r="E12" s="13"/>
      <c r="F12" s="13"/>
      <c r="G12" s="13"/>
      <c r="H12" s="13"/>
      <c r="I12" s="14" t="s">
        <v>355</v>
      </c>
    </row>
    <row r="13" spans="1:9" ht="22.5" customHeight="1">
      <c r="A13" s="13" t="s">
        <v>238</v>
      </c>
      <c r="B13" s="13"/>
      <c r="C13" s="13"/>
      <c r="D13" s="13"/>
      <c r="E13" s="13"/>
      <c r="F13" s="13"/>
      <c r="G13" s="13"/>
      <c r="H13" s="13"/>
      <c r="I13" s="14" t="s">
        <v>264</v>
      </c>
    </row>
    <row r="14" spans="1:9" ht="22.5" customHeight="1">
      <c r="A14" s="13" t="s">
        <v>489</v>
      </c>
      <c r="B14" s="13"/>
      <c r="C14" s="13"/>
      <c r="D14" s="13"/>
      <c r="E14" s="13"/>
      <c r="F14" s="13"/>
      <c r="G14" s="13"/>
      <c r="H14" s="13"/>
      <c r="I14" s="14" t="s">
        <v>356</v>
      </c>
    </row>
    <row r="15" spans="1:9" ht="22.5" customHeight="1">
      <c r="A15" s="13" t="s">
        <v>274</v>
      </c>
      <c r="B15" s="13"/>
      <c r="C15" s="13"/>
      <c r="D15" s="13"/>
      <c r="E15" s="13"/>
      <c r="F15" s="13"/>
      <c r="G15" s="13"/>
      <c r="H15" s="13"/>
      <c r="I15" s="14" t="s">
        <v>265</v>
      </c>
    </row>
    <row r="16" spans="1:9" ht="22.5" customHeight="1">
      <c r="A16" s="13" t="s">
        <v>490</v>
      </c>
      <c r="B16" s="13"/>
      <c r="C16" s="13"/>
      <c r="D16" s="13"/>
      <c r="E16" s="13"/>
      <c r="F16" s="13"/>
      <c r="G16" s="13"/>
      <c r="H16" s="13"/>
      <c r="I16" s="14" t="s">
        <v>357</v>
      </c>
    </row>
    <row r="17" spans="1:9" ht="22.5" customHeight="1">
      <c r="A17" s="13" t="s">
        <v>322</v>
      </c>
      <c r="B17" s="13"/>
      <c r="C17" s="13"/>
      <c r="D17" s="13"/>
      <c r="E17" s="13"/>
      <c r="F17" s="13"/>
      <c r="G17" s="13"/>
      <c r="H17" s="13"/>
      <c r="I17" s="14" t="s">
        <v>266</v>
      </c>
    </row>
    <row r="18" spans="1:9" ht="22.5" customHeight="1">
      <c r="A18" s="13" t="s">
        <v>491</v>
      </c>
      <c r="B18" s="13"/>
      <c r="C18" s="13"/>
      <c r="D18" s="13"/>
      <c r="E18" s="13"/>
      <c r="F18" s="13"/>
      <c r="G18" s="13"/>
      <c r="H18" s="13"/>
      <c r="I18" s="14" t="s">
        <v>358</v>
      </c>
    </row>
    <row r="19" spans="1:9" ht="22.5" customHeight="1">
      <c r="A19" s="13"/>
      <c r="B19" s="13"/>
      <c r="C19" s="13"/>
      <c r="D19" s="13"/>
      <c r="E19" s="13"/>
      <c r="F19" s="13"/>
      <c r="G19" s="13"/>
      <c r="H19" s="13"/>
      <c r="I19" s="14"/>
    </row>
    <row r="20" spans="1:9" ht="22.5" customHeight="1">
      <c r="A20" s="13" t="s">
        <v>390</v>
      </c>
      <c r="B20" s="13"/>
      <c r="C20" s="13"/>
      <c r="D20" s="13"/>
      <c r="E20" s="13"/>
      <c r="F20" s="13"/>
      <c r="G20" s="13"/>
      <c r="H20" s="13"/>
      <c r="I20" s="14" t="s">
        <v>267</v>
      </c>
    </row>
    <row r="21" spans="1:9" ht="22.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2.5" customHeight="1">
      <c r="A22" s="13" t="s">
        <v>388</v>
      </c>
      <c r="B22" s="13"/>
      <c r="C22" s="13"/>
      <c r="D22" s="13"/>
      <c r="E22" s="13"/>
      <c r="F22" s="13"/>
      <c r="G22" s="13"/>
      <c r="H22" s="13"/>
      <c r="I22" s="13"/>
    </row>
    <row r="23" spans="1:9" ht="22.5" customHeight="1">
      <c r="A23" s="13"/>
      <c r="B23" s="13"/>
      <c r="C23" s="13"/>
      <c r="D23" s="13"/>
      <c r="E23" s="13"/>
      <c r="F23" s="13"/>
      <c r="G23" s="13"/>
      <c r="H23" s="13"/>
      <c r="I23" s="14"/>
    </row>
    <row r="24" spans="1:9" ht="22.5" customHeight="1">
      <c r="A24" s="13" t="s">
        <v>492</v>
      </c>
      <c r="B24" s="13"/>
      <c r="C24" s="13"/>
      <c r="D24" s="13"/>
      <c r="E24" s="13"/>
      <c r="F24" s="13"/>
      <c r="G24" s="13"/>
      <c r="H24" s="13"/>
      <c r="I24" s="14" t="s">
        <v>359</v>
      </c>
    </row>
    <row r="25" spans="1:9" ht="22.5" customHeight="1">
      <c r="A25" s="13" t="s">
        <v>239</v>
      </c>
      <c r="B25" s="13"/>
      <c r="C25" s="13"/>
      <c r="D25" s="13"/>
      <c r="E25" s="13"/>
      <c r="F25" s="13"/>
      <c r="G25" s="13"/>
      <c r="H25" s="13"/>
      <c r="I25" s="14" t="s">
        <v>268</v>
      </c>
    </row>
    <row r="26" spans="1:9" ht="22.5" customHeight="1">
      <c r="A26" s="13" t="s">
        <v>240</v>
      </c>
      <c r="B26" s="13"/>
      <c r="C26" s="13"/>
      <c r="D26" s="13"/>
      <c r="E26" s="13"/>
      <c r="F26" s="13"/>
      <c r="G26" s="13"/>
      <c r="H26" s="13"/>
      <c r="I26" s="14" t="s">
        <v>269</v>
      </c>
    </row>
    <row r="27" spans="1:9" ht="22.5" customHeight="1">
      <c r="A27" s="13" t="s">
        <v>241</v>
      </c>
      <c r="B27" s="13"/>
      <c r="C27" s="13"/>
      <c r="D27" s="13"/>
      <c r="E27" s="13"/>
      <c r="F27" s="13"/>
      <c r="G27" s="13"/>
      <c r="H27" s="13"/>
      <c r="I27" s="14" t="s">
        <v>270</v>
      </c>
    </row>
    <row r="28" spans="1:9" ht="22.5" customHeight="1">
      <c r="A28" s="13" t="s">
        <v>242</v>
      </c>
      <c r="B28" s="13"/>
      <c r="C28" s="13"/>
      <c r="D28" s="13"/>
      <c r="E28" s="13"/>
      <c r="F28" s="13"/>
      <c r="G28" s="13"/>
      <c r="H28" s="13"/>
      <c r="I28" s="14" t="s">
        <v>271</v>
      </c>
    </row>
    <row r="29" spans="1:9" ht="22.5" customHeight="1">
      <c r="A29" s="13" t="s">
        <v>243</v>
      </c>
      <c r="B29" s="13"/>
      <c r="C29" s="13"/>
      <c r="D29" s="13"/>
      <c r="E29" s="13"/>
      <c r="F29" s="13"/>
      <c r="G29" s="13"/>
      <c r="H29" s="13"/>
      <c r="I29" s="14" t="s">
        <v>405</v>
      </c>
    </row>
    <row r="30" spans="1:9" ht="22.5" customHeight="1">
      <c r="A30" s="13" t="s">
        <v>244</v>
      </c>
      <c r="B30" s="13"/>
      <c r="C30" s="13"/>
      <c r="D30" s="13"/>
      <c r="E30" s="13"/>
      <c r="F30" s="13"/>
      <c r="G30" s="13"/>
      <c r="H30" s="13"/>
      <c r="I30" s="14" t="s">
        <v>272</v>
      </c>
    </row>
    <row r="31" spans="1:9" ht="22.5" customHeight="1">
      <c r="A31" s="13" t="s">
        <v>493</v>
      </c>
      <c r="B31" s="13"/>
      <c r="C31" s="13"/>
      <c r="D31" s="13"/>
      <c r="E31" s="13"/>
      <c r="F31" s="13"/>
      <c r="G31" s="13"/>
      <c r="H31" s="13"/>
      <c r="I31" s="14" t="s">
        <v>273</v>
      </c>
    </row>
    <row r="32" spans="1:9" ht="22.5" customHeight="1">
      <c r="A32" s="13" t="s">
        <v>494</v>
      </c>
      <c r="B32" s="13"/>
      <c r="C32" s="13"/>
      <c r="D32" s="13"/>
      <c r="E32" s="13"/>
      <c r="F32" s="13"/>
      <c r="G32" s="13"/>
      <c r="H32" s="13"/>
      <c r="I32" s="14" t="s">
        <v>495</v>
      </c>
    </row>
    <row r="33" spans="1:9" ht="19.5" customHeight="1">
      <c r="A33" s="13" t="s">
        <v>543</v>
      </c>
      <c r="B33" s="13"/>
      <c r="C33" s="13"/>
      <c r="D33" s="13"/>
      <c r="E33" s="13"/>
      <c r="F33" s="13"/>
      <c r="G33" s="13"/>
      <c r="H33" s="13"/>
      <c r="I33" s="14" t="s">
        <v>496</v>
      </c>
    </row>
    <row r="34" spans="1:9" ht="19.5" customHeight="1">
      <c r="A34" s="13"/>
      <c r="I34" s="14"/>
    </row>
    <row r="35" spans="1:9" ht="19.5" customHeight="1">
      <c r="A35" s="13"/>
      <c r="I35" s="14"/>
    </row>
    <row r="36" spans="1:9" ht="19.5" customHeight="1">
      <c r="A36" s="13"/>
      <c r="I36" s="14"/>
    </row>
    <row r="37" spans="1:9" ht="19.5" customHeight="1">
      <c r="A37" s="13"/>
      <c r="I37" s="14"/>
    </row>
  </sheetData>
  <sheetProtection/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6.5"/>
  <sheetData/>
  <sheetProtection/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18.625" style="0" customWidth="1"/>
    <col min="2" max="2" width="16.875" style="0" customWidth="1"/>
    <col min="3" max="3" width="18.625" style="0" customWidth="1"/>
    <col min="4" max="4" width="14.375" style="0" customWidth="1"/>
    <col min="5" max="5" width="12.50390625" style="0" bestFit="1" customWidth="1"/>
    <col min="6" max="6" width="13.125" style="0" customWidth="1"/>
    <col min="7" max="7" width="12.25390625" style="0" customWidth="1"/>
    <col min="8" max="8" width="13.00390625" style="0" customWidth="1"/>
    <col min="9" max="9" width="12.625" style="0" customWidth="1"/>
  </cols>
  <sheetData>
    <row r="1" spans="1:4" ht="16.5">
      <c r="A1" t="s">
        <v>605</v>
      </c>
      <c r="B1">
        <v>105</v>
      </c>
      <c r="C1">
        <v>106</v>
      </c>
      <c r="D1" t="s">
        <v>612</v>
      </c>
    </row>
    <row r="2" spans="1:3" ht="16.5">
      <c r="A2" t="s">
        <v>606</v>
      </c>
      <c r="B2" s="80">
        <v>13502450000</v>
      </c>
      <c r="C2" s="80">
        <v>11781672000</v>
      </c>
    </row>
    <row r="3" spans="1:3" ht="16.5">
      <c r="A3" t="s">
        <v>607</v>
      </c>
      <c r="B3" s="80">
        <v>433892000</v>
      </c>
      <c r="C3" s="80">
        <v>418278000</v>
      </c>
    </row>
    <row r="4" spans="1:3" ht="16.5">
      <c r="A4" t="s">
        <v>608</v>
      </c>
      <c r="B4" s="80">
        <v>141884000</v>
      </c>
      <c r="C4" s="80">
        <v>133266000</v>
      </c>
    </row>
    <row r="5" spans="1:3" ht="16.5">
      <c r="A5" t="s">
        <v>609</v>
      </c>
      <c r="B5" s="80">
        <v>463522000</v>
      </c>
      <c r="C5" s="80">
        <v>480076000</v>
      </c>
    </row>
    <row r="6" spans="1:3" ht="16.5">
      <c r="A6" t="s">
        <v>610</v>
      </c>
      <c r="B6" s="80">
        <v>99580000</v>
      </c>
      <c r="C6" s="80">
        <v>101311000</v>
      </c>
    </row>
    <row r="7" spans="1:3" ht="16.5">
      <c r="A7" t="s">
        <v>611</v>
      </c>
      <c r="B7" s="80">
        <v>4454938000</v>
      </c>
      <c r="C7" s="80">
        <v>5154218000</v>
      </c>
    </row>
    <row r="8" spans="1:4" ht="16.5">
      <c r="A8" t="s">
        <v>613</v>
      </c>
      <c r="B8" s="80">
        <f>SUM(B2:B7)</f>
        <v>19096266000</v>
      </c>
      <c r="C8" s="80">
        <f>SUM(C2:C7)</f>
        <v>18068821000</v>
      </c>
      <c r="D8" s="80">
        <f>(B8+C8)/2</f>
        <v>18582543500</v>
      </c>
    </row>
    <row r="9" ht="16.5">
      <c r="B9" s="80"/>
    </row>
    <row r="10" ht="16.5">
      <c r="B10" s="80"/>
    </row>
    <row r="11" spans="1:9" ht="16.5">
      <c r="A11" s="567"/>
      <c r="B11" s="571"/>
      <c r="C11" s="567"/>
      <c r="D11" s="567"/>
      <c r="E11" s="567"/>
      <c r="F11" s="567"/>
      <c r="G11" s="567"/>
      <c r="H11" s="567"/>
      <c r="I11" s="567"/>
    </row>
    <row r="12" spans="1:9" ht="16.5">
      <c r="A12" s="567" t="s">
        <v>614</v>
      </c>
      <c r="B12" s="571" t="s">
        <v>258</v>
      </c>
      <c r="C12" s="567" t="s">
        <v>257</v>
      </c>
      <c r="D12" s="567" t="s">
        <v>619</v>
      </c>
      <c r="E12" s="567" t="s">
        <v>607</v>
      </c>
      <c r="F12" s="567" t="s">
        <v>608</v>
      </c>
      <c r="G12" s="567" t="s">
        <v>609</v>
      </c>
      <c r="H12" s="567" t="s">
        <v>610</v>
      </c>
      <c r="I12" s="567" t="s">
        <v>611</v>
      </c>
    </row>
    <row r="13" spans="1:9" ht="16.5">
      <c r="A13" s="567" t="s">
        <v>615</v>
      </c>
      <c r="B13" s="571">
        <v>6750948086</v>
      </c>
      <c r="C13" s="571">
        <f>D13+E13+F13+G13+H13+I13</f>
        <v>6805091000</v>
      </c>
      <c r="D13" s="572">
        <v>5746661000</v>
      </c>
      <c r="E13" s="572">
        <v>193250000</v>
      </c>
      <c r="F13" s="574">
        <v>144473000</v>
      </c>
      <c r="G13" s="571">
        <v>180500000</v>
      </c>
      <c r="H13" s="571">
        <v>99489000</v>
      </c>
      <c r="I13" s="571">
        <v>440718000</v>
      </c>
    </row>
    <row r="14" spans="1:9" ht="16.5">
      <c r="A14" s="567" t="s">
        <v>616</v>
      </c>
      <c r="B14" s="571">
        <v>5733858546</v>
      </c>
      <c r="C14" s="571">
        <f>D14+E14+F14+G14+H14+I14</f>
        <v>5885160000</v>
      </c>
      <c r="D14" s="572">
        <v>5667667000</v>
      </c>
      <c r="E14" s="572">
        <v>47734000</v>
      </c>
      <c r="F14" s="574">
        <v>32576000</v>
      </c>
      <c r="G14" s="571">
        <v>69736000</v>
      </c>
      <c r="H14" s="571">
        <v>6094000</v>
      </c>
      <c r="I14" s="571">
        <v>61353000</v>
      </c>
    </row>
    <row r="15" spans="1:9" ht="16.5">
      <c r="A15" s="567" t="s">
        <v>617</v>
      </c>
      <c r="B15" s="571">
        <v>139541322</v>
      </c>
      <c r="C15" s="571">
        <f>D15+E15+F15+G15+H15+I15</f>
        <v>96987000</v>
      </c>
      <c r="D15" s="572">
        <v>45889000</v>
      </c>
      <c r="E15" s="572">
        <v>1098000</v>
      </c>
      <c r="F15" s="574">
        <v>140000</v>
      </c>
      <c r="G15" s="571">
        <v>500000</v>
      </c>
      <c r="H15" s="571">
        <v>260000</v>
      </c>
      <c r="I15" s="571">
        <v>49100000</v>
      </c>
    </row>
    <row r="16" spans="1:9" ht="16.5">
      <c r="A16" s="567" t="s">
        <v>618</v>
      </c>
      <c r="B16" s="571">
        <v>144585532</v>
      </c>
      <c r="C16" s="571">
        <f>D16+E16+F16+G16+H16+I16</f>
        <v>140946000</v>
      </c>
      <c r="D16" s="572">
        <v>140946000</v>
      </c>
      <c r="E16" s="572"/>
      <c r="F16" s="574"/>
      <c r="G16" s="571"/>
      <c r="H16" s="571"/>
      <c r="I16" s="571"/>
    </row>
    <row r="17" spans="1:9" ht="16.5">
      <c r="A17" s="567" t="s">
        <v>178</v>
      </c>
      <c r="B17" s="571">
        <f aca="true" t="shared" si="0" ref="B17:I17">SUM(B13:B16)</f>
        <v>12768933486</v>
      </c>
      <c r="C17" s="571">
        <f t="shared" si="0"/>
        <v>12928184000</v>
      </c>
      <c r="D17" s="572">
        <f t="shared" si="0"/>
        <v>11601163000</v>
      </c>
      <c r="E17" s="573">
        <f t="shared" si="0"/>
        <v>242082000</v>
      </c>
      <c r="F17" s="574">
        <f t="shared" si="0"/>
        <v>177189000</v>
      </c>
      <c r="G17" s="571">
        <f t="shared" si="0"/>
        <v>250736000</v>
      </c>
      <c r="H17" s="571">
        <f t="shared" si="0"/>
        <v>105843000</v>
      </c>
      <c r="I17" s="571">
        <f t="shared" si="0"/>
        <v>551171000</v>
      </c>
    </row>
    <row r="18" spans="1:9" ht="16.5">
      <c r="A18" s="567"/>
      <c r="B18" s="567"/>
      <c r="C18" s="571">
        <f>B17-C17</f>
        <v>-159250514</v>
      </c>
      <c r="D18" s="573">
        <f>C18/C17</f>
        <v>-0.01231808844923618</v>
      </c>
      <c r="E18" s="573"/>
      <c r="F18" s="575"/>
      <c r="G18" s="567"/>
      <c r="H18" s="567"/>
      <c r="I18" s="567"/>
    </row>
    <row r="19" spans="1:9" ht="16.5">
      <c r="A19" s="567"/>
      <c r="B19" s="567"/>
      <c r="C19" s="571"/>
      <c r="D19" s="573"/>
      <c r="E19" s="573"/>
      <c r="F19" s="575"/>
      <c r="G19" s="567"/>
      <c r="H19" s="567"/>
      <c r="I19" s="567"/>
    </row>
    <row r="20" spans="1:9" ht="16.5">
      <c r="A20" s="567" t="s">
        <v>622</v>
      </c>
      <c r="B20" s="567"/>
      <c r="C20" s="571"/>
      <c r="D20" s="573"/>
      <c r="E20" s="573"/>
      <c r="F20" s="575"/>
      <c r="G20" s="567"/>
      <c r="H20" s="567"/>
      <c r="I20" s="567"/>
    </row>
    <row r="21" spans="1:9" ht="16.5">
      <c r="A21" s="567" t="s">
        <v>615</v>
      </c>
      <c r="B21" s="567"/>
      <c r="C21" s="571"/>
      <c r="D21" s="572">
        <v>5807775556</v>
      </c>
      <c r="E21" s="572">
        <v>162916245</v>
      </c>
      <c r="F21" s="574">
        <v>135110147</v>
      </c>
      <c r="G21" s="571">
        <v>153234316</v>
      </c>
      <c r="H21" s="571">
        <v>97863577</v>
      </c>
      <c r="I21" s="571">
        <v>394048245</v>
      </c>
    </row>
    <row r="22" spans="1:9" ht="16.5">
      <c r="A22" s="567" t="s">
        <v>616</v>
      </c>
      <c r="B22" s="567"/>
      <c r="C22" s="571"/>
      <c r="D22" s="572">
        <v>5557567525</v>
      </c>
      <c r="E22" s="572">
        <v>38140430</v>
      </c>
      <c r="F22" s="574">
        <v>31233020</v>
      </c>
      <c r="G22" s="571">
        <v>56112650</v>
      </c>
      <c r="H22" s="571">
        <v>4626671</v>
      </c>
      <c r="I22" s="571">
        <v>46178250</v>
      </c>
    </row>
    <row r="23" spans="1:9" ht="16.5">
      <c r="A23" s="567" t="s">
        <v>617</v>
      </c>
      <c r="B23" s="567"/>
      <c r="C23" s="571"/>
      <c r="D23" s="572">
        <v>78517567</v>
      </c>
      <c r="E23" s="572">
        <v>11452805</v>
      </c>
      <c r="F23" s="574">
        <v>53</v>
      </c>
      <c r="G23" s="571">
        <v>310911</v>
      </c>
      <c r="H23" s="571">
        <v>259986</v>
      </c>
      <c r="I23" s="571">
        <v>49000000</v>
      </c>
    </row>
    <row r="24" spans="1:9" ht="16.5">
      <c r="A24" s="567" t="s">
        <v>618</v>
      </c>
      <c r="B24" s="567"/>
      <c r="C24" s="571"/>
      <c r="D24" s="572">
        <v>144585532</v>
      </c>
      <c r="E24" s="572"/>
      <c r="F24" s="574"/>
      <c r="G24" s="571"/>
      <c r="H24" s="571"/>
      <c r="I24" s="571"/>
    </row>
    <row r="25" spans="1:9" ht="16.5">
      <c r="A25" s="567"/>
      <c r="B25" s="567"/>
      <c r="C25" s="567"/>
      <c r="D25" s="572">
        <f aca="true" t="shared" si="1" ref="D25:I25">SUM(D21:D24)</f>
        <v>11588446180</v>
      </c>
      <c r="E25" s="572">
        <f t="shared" si="1"/>
        <v>212509480</v>
      </c>
      <c r="F25" s="574">
        <f t="shared" si="1"/>
        <v>166343220</v>
      </c>
      <c r="G25" s="571">
        <f t="shared" si="1"/>
        <v>209657877</v>
      </c>
      <c r="H25" s="571">
        <f t="shared" si="1"/>
        <v>102750234</v>
      </c>
      <c r="I25" s="571">
        <f t="shared" si="1"/>
        <v>489226495</v>
      </c>
    </row>
    <row r="26" spans="1:9" ht="16.5">
      <c r="A26" s="567"/>
      <c r="B26" s="567"/>
      <c r="C26" s="567"/>
      <c r="D26" s="573"/>
      <c r="E26" s="573"/>
      <c r="F26" s="575"/>
      <c r="G26" s="567"/>
      <c r="H26" s="567"/>
      <c r="I26" s="567"/>
    </row>
    <row r="27" spans="1:9" ht="16.5">
      <c r="A27" s="567"/>
      <c r="B27" s="567" t="s">
        <v>620</v>
      </c>
      <c r="C27" s="567"/>
      <c r="D27" s="572">
        <f aca="true" t="shared" si="2" ref="D27:I27">D25-D17</f>
        <v>-12716820</v>
      </c>
      <c r="E27" s="572">
        <f t="shared" si="2"/>
        <v>-29572520</v>
      </c>
      <c r="F27" s="574">
        <f t="shared" si="2"/>
        <v>-10845780</v>
      </c>
      <c r="G27" s="571">
        <f t="shared" si="2"/>
        <v>-41078123</v>
      </c>
      <c r="H27" s="571">
        <f t="shared" si="2"/>
        <v>-3092766</v>
      </c>
      <c r="I27" s="571">
        <f t="shared" si="2"/>
        <v>-61944505</v>
      </c>
    </row>
    <row r="28" spans="1:9" ht="16.5">
      <c r="A28" s="567"/>
      <c r="B28" s="567" t="s">
        <v>621</v>
      </c>
      <c r="C28" s="567"/>
      <c r="D28" s="573">
        <f aca="true" t="shared" si="3" ref="D28:I28">D27/D17</f>
        <v>-0.001096167685946659</v>
      </c>
      <c r="E28" s="573">
        <f t="shared" si="3"/>
        <v>-0.12215910311382093</v>
      </c>
      <c r="F28" s="575">
        <f t="shared" si="3"/>
        <v>-0.06121023314088346</v>
      </c>
      <c r="G28" s="567">
        <f t="shared" si="3"/>
        <v>-0.16383017596196797</v>
      </c>
      <c r="H28" s="567">
        <f t="shared" si="3"/>
        <v>-0.02922031688444205</v>
      </c>
      <c r="I28" s="567">
        <f t="shared" si="3"/>
        <v>-0.11238709039481395</v>
      </c>
    </row>
    <row r="32" spans="2:3" ht="16.5">
      <c r="B32" s="80" t="s">
        <v>258</v>
      </c>
      <c r="C32" t="s">
        <v>257</v>
      </c>
    </row>
    <row r="33" spans="1:3" ht="16.5">
      <c r="A33" t="s">
        <v>619</v>
      </c>
      <c r="C33">
        <f>D13+D14+D15+D16</f>
        <v>11601163000</v>
      </c>
    </row>
    <row r="34" ht="16.5">
      <c r="C34">
        <f>E13+E14+E15</f>
        <v>242082000</v>
      </c>
    </row>
    <row r="35" ht="16.5">
      <c r="C35">
        <f>F14+F15+F13</f>
        <v>177189000</v>
      </c>
    </row>
    <row r="36" ht="16.5">
      <c r="C36">
        <f>G13+G14+G15</f>
        <v>250736000</v>
      </c>
    </row>
    <row r="37" ht="16.5">
      <c r="C37">
        <f>H13+H14+H15</f>
        <v>105843000</v>
      </c>
    </row>
    <row r="38" ht="16.5">
      <c r="C38">
        <f>I13+I14+I15</f>
        <v>551171000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0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12.25390625" style="0" customWidth="1"/>
    <col min="2" max="2" width="19.625" style="0" customWidth="1"/>
    <col min="3" max="3" width="20.375" style="0" customWidth="1"/>
    <col min="4" max="4" width="15.25390625" style="0" bestFit="1" customWidth="1"/>
  </cols>
  <sheetData>
    <row r="3" spans="2:4" ht="16.5">
      <c r="B3">
        <v>105</v>
      </c>
      <c r="C3">
        <v>106</v>
      </c>
      <c r="D3" t="s">
        <v>898</v>
      </c>
    </row>
    <row r="4" spans="1:4" ht="16.5">
      <c r="A4" t="s">
        <v>402</v>
      </c>
      <c r="B4" s="80">
        <v>13502450000</v>
      </c>
      <c r="C4" s="80">
        <v>11823172000</v>
      </c>
      <c r="D4" s="80">
        <f>(B4+C4)/2</f>
        <v>12662811000</v>
      </c>
    </row>
    <row r="5" spans="1:4" ht="16.5">
      <c r="A5" t="s">
        <v>607</v>
      </c>
      <c r="B5" s="80">
        <v>433892000</v>
      </c>
      <c r="C5" s="80">
        <v>418278000</v>
      </c>
      <c r="D5" s="80">
        <f aca="true" t="shared" si="0" ref="D5:D10">(B5+C5)/2</f>
        <v>426085000</v>
      </c>
    </row>
    <row r="6" spans="1:4" ht="16.5">
      <c r="A6" t="s">
        <v>896</v>
      </c>
      <c r="B6" s="80">
        <v>141884000</v>
      </c>
      <c r="C6" s="80">
        <v>133266000</v>
      </c>
      <c r="D6" s="80">
        <f t="shared" si="0"/>
        <v>137575000</v>
      </c>
    </row>
    <row r="7" spans="1:4" ht="16.5">
      <c r="A7" t="s">
        <v>609</v>
      </c>
      <c r="B7" s="80">
        <v>463522000</v>
      </c>
      <c r="C7" s="80">
        <v>480076000</v>
      </c>
      <c r="D7" s="80">
        <f t="shared" si="0"/>
        <v>471799000</v>
      </c>
    </row>
    <row r="8" spans="1:4" ht="16.5">
      <c r="A8" t="s">
        <v>897</v>
      </c>
      <c r="B8" s="80">
        <v>99580000</v>
      </c>
      <c r="C8" s="80">
        <v>101311000</v>
      </c>
      <c r="D8" s="80">
        <f t="shared" si="0"/>
        <v>100445500</v>
      </c>
    </row>
    <row r="9" spans="1:4" ht="16.5">
      <c r="A9" t="s">
        <v>611</v>
      </c>
      <c r="B9" s="80">
        <v>4454938000</v>
      </c>
      <c r="C9" s="80">
        <v>5154218000</v>
      </c>
      <c r="D9" s="80">
        <f t="shared" si="0"/>
        <v>4804578000</v>
      </c>
    </row>
    <row r="10" spans="2:4" ht="16.5">
      <c r="B10" s="80">
        <f>SUM(B4:B9)</f>
        <v>19096266000</v>
      </c>
      <c r="C10" s="80">
        <f>SUM(C4:C9)</f>
        <v>18110321000</v>
      </c>
      <c r="D10" s="80">
        <f t="shared" si="0"/>
        <v>18603293500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11" sqref="B11"/>
    </sheetView>
  </sheetViews>
  <sheetFormatPr defaultColWidth="8.875" defaultRowHeight="16.5"/>
  <cols>
    <col min="1" max="1" width="6.00390625" style="1" customWidth="1"/>
    <col min="2" max="2" width="18.75390625" style="1" customWidth="1"/>
    <col min="3" max="3" width="14.625" style="1" customWidth="1"/>
    <col min="4" max="4" width="21.375" style="1" customWidth="1"/>
    <col min="5" max="5" width="19.50390625" style="1" customWidth="1"/>
    <col min="6" max="6" width="19.75390625" style="1" customWidth="1"/>
    <col min="7" max="7" width="20.125" style="1" customWidth="1"/>
    <col min="8" max="8" width="15.375" style="1" customWidth="1"/>
    <col min="9" max="16384" width="8.875" style="1" customWidth="1"/>
  </cols>
  <sheetData>
    <row r="2" spans="1:9" ht="16.5">
      <c r="A2" s="568"/>
      <c r="B2" s="568" t="s">
        <v>623</v>
      </c>
      <c r="C2" s="568" t="s">
        <v>624</v>
      </c>
      <c r="D2" s="568" t="s">
        <v>632</v>
      </c>
      <c r="E2" s="569" t="s">
        <v>630</v>
      </c>
      <c r="F2" s="568" t="s">
        <v>631</v>
      </c>
      <c r="G2" s="568" t="s">
        <v>633</v>
      </c>
      <c r="H2" s="568" t="s">
        <v>620</v>
      </c>
      <c r="I2" s="568" t="s">
        <v>621</v>
      </c>
    </row>
    <row r="3" spans="1:9" ht="16.5">
      <c r="A3" s="568" t="s">
        <v>619</v>
      </c>
      <c r="B3" s="570">
        <v>12226079169</v>
      </c>
      <c r="C3" s="570">
        <v>113836494</v>
      </c>
      <c r="D3" s="570">
        <f aca="true" t="shared" si="0" ref="D3:D8">B3+C3</f>
        <v>12339915663</v>
      </c>
      <c r="E3" s="570">
        <v>12211703000</v>
      </c>
      <c r="F3" s="570">
        <v>48434000</v>
      </c>
      <c r="G3" s="570">
        <f aca="true" t="shared" si="1" ref="G3:G8">E3+F3</f>
        <v>12260137000</v>
      </c>
      <c r="H3" s="570">
        <f aca="true" t="shared" si="2" ref="H3:H8">D3-G3</f>
        <v>79778663</v>
      </c>
      <c r="I3" s="568">
        <f aca="true" t="shared" si="3" ref="I3:I8">H3/G3</f>
        <v>0.006507159177748177</v>
      </c>
    </row>
    <row r="4" spans="1:9" ht="16.5">
      <c r="A4" s="568" t="s">
        <v>625</v>
      </c>
      <c r="B4" s="570">
        <v>151242144</v>
      </c>
      <c r="C4" s="570">
        <v>4112548</v>
      </c>
      <c r="D4" s="570">
        <f t="shared" si="0"/>
        <v>155354692</v>
      </c>
      <c r="E4" s="570">
        <v>240310000</v>
      </c>
      <c r="F4" s="570">
        <v>2050000</v>
      </c>
      <c r="G4" s="570">
        <f t="shared" si="1"/>
        <v>242360000</v>
      </c>
      <c r="H4" s="570">
        <f t="shared" si="2"/>
        <v>-87005308</v>
      </c>
      <c r="I4" s="568">
        <f t="shared" si="3"/>
        <v>-0.3589920283875227</v>
      </c>
    </row>
    <row r="5" spans="1:9" ht="16.5">
      <c r="A5" s="568" t="s">
        <v>626</v>
      </c>
      <c r="B5" s="570">
        <v>159256015</v>
      </c>
      <c r="C5" s="570">
        <v>2645439</v>
      </c>
      <c r="D5" s="570">
        <f t="shared" si="0"/>
        <v>161901454</v>
      </c>
      <c r="E5" s="570">
        <v>162126000</v>
      </c>
      <c r="F5" s="570">
        <v>1500000</v>
      </c>
      <c r="G5" s="570">
        <f t="shared" si="1"/>
        <v>163626000</v>
      </c>
      <c r="H5" s="570">
        <f t="shared" si="2"/>
        <v>-1724546</v>
      </c>
      <c r="I5" s="568">
        <f t="shared" si="3"/>
        <v>-0.010539559727671642</v>
      </c>
    </row>
    <row r="6" spans="1:9" ht="16.5">
      <c r="A6" s="568" t="s">
        <v>627</v>
      </c>
      <c r="B6" s="570">
        <v>141412347</v>
      </c>
      <c r="C6" s="570">
        <v>32241714</v>
      </c>
      <c r="D6" s="570">
        <f t="shared" si="0"/>
        <v>173654061</v>
      </c>
      <c r="E6" s="570">
        <v>141750000</v>
      </c>
      <c r="F6" s="570">
        <v>37800000</v>
      </c>
      <c r="G6" s="570">
        <f t="shared" si="1"/>
        <v>179550000</v>
      </c>
      <c r="H6" s="570">
        <f t="shared" si="2"/>
        <v>-5895939</v>
      </c>
      <c r="I6" s="568">
        <f t="shared" si="3"/>
        <v>-0.03283730994152047</v>
      </c>
    </row>
    <row r="7" spans="1:9" ht="16.5">
      <c r="A7" s="568" t="s">
        <v>628</v>
      </c>
      <c r="B7" s="570">
        <v>95861089</v>
      </c>
      <c r="C7" s="570">
        <v>6972355</v>
      </c>
      <c r="D7" s="570">
        <f t="shared" si="0"/>
        <v>102833444</v>
      </c>
      <c r="E7" s="570">
        <v>97604000</v>
      </c>
      <c r="F7" s="570">
        <v>6500000</v>
      </c>
      <c r="G7" s="570">
        <f t="shared" si="1"/>
        <v>104104000</v>
      </c>
      <c r="H7" s="570">
        <f t="shared" si="2"/>
        <v>-1270556</v>
      </c>
      <c r="I7" s="568">
        <f t="shared" si="3"/>
        <v>-0.012204679935449166</v>
      </c>
    </row>
    <row r="8" spans="1:9" ht="16.5">
      <c r="A8" s="568" t="s">
        <v>629</v>
      </c>
      <c r="B8" s="570">
        <v>353399160</v>
      </c>
      <c r="C8" s="570">
        <v>81329676</v>
      </c>
      <c r="D8" s="570">
        <f t="shared" si="0"/>
        <v>434728836</v>
      </c>
      <c r="E8" s="570">
        <v>311490000</v>
      </c>
      <c r="F8" s="570">
        <v>82240000</v>
      </c>
      <c r="G8" s="570">
        <f t="shared" si="1"/>
        <v>393730000</v>
      </c>
      <c r="H8" s="570">
        <f t="shared" si="2"/>
        <v>40998836</v>
      </c>
      <c r="I8" s="568">
        <f t="shared" si="3"/>
        <v>0.10412931704467529</v>
      </c>
    </row>
    <row r="9" spans="1:9" ht="16.5">
      <c r="A9" s="568"/>
      <c r="B9" s="570">
        <f aca="true" t="shared" si="4" ref="B9:H9">SUM(B3:B8)</f>
        <v>13127249924</v>
      </c>
      <c r="C9" s="570">
        <f t="shared" si="4"/>
        <v>241138226</v>
      </c>
      <c r="D9" s="570">
        <f t="shared" si="4"/>
        <v>13368388150</v>
      </c>
      <c r="E9" s="570">
        <f t="shared" si="4"/>
        <v>13164983000</v>
      </c>
      <c r="F9" s="570">
        <f t="shared" si="4"/>
        <v>178524000</v>
      </c>
      <c r="G9" s="570">
        <f t="shared" si="4"/>
        <v>13343507000</v>
      </c>
      <c r="H9" s="570">
        <f t="shared" si="4"/>
        <v>24881150</v>
      </c>
      <c r="I9" s="568"/>
    </row>
    <row r="10" spans="1:9" ht="16.5">
      <c r="A10" s="568"/>
      <c r="B10" s="568"/>
      <c r="C10" s="568"/>
      <c r="D10" s="568"/>
      <c r="E10" s="568"/>
      <c r="F10" s="568"/>
      <c r="G10" s="568"/>
      <c r="H10" s="568"/>
      <c r="I10" s="568"/>
    </row>
    <row r="11" spans="1:9" ht="16.5">
      <c r="A11" s="568"/>
      <c r="B11" s="568"/>
      <c r="C11" s="568"/>
      <c r="D11" s="568"/>
      <c r="E11" s="568"/>
      <c r="F11" s="568"/>
      <c r="G11" s="568"/>
      <c r="H11" s="568"/>
      <c r="I11" s="568"/>
    </row>
    <row r="12" spans="1:9" ht="16.5">
      <c r="A12" s="568"/>
      <c r="B12" s="568"/>
      <c r="C12" s="568" t="s">
        <v>620</v>
      </c>
      <c r="D12" s="568">
        <f>D9-G9</f>
        <v>24881150</v>
      </c>
      <c r="E12" s="568"/>
      <c r="F12" s="568"/>
      <c r="G12" s="568"/>
      <c r="H12" s="568"/>
      <c r="I12" s="568"/>
    </row>
    <row r="13" spans="1:9" ht="16.5">
      <c r="A13" s="568"/>
      <c r="B13" s="568"/>
      <c r="C13" s="568" t="s">
        <v>634</v>
      </c>
      <c r="D13" s="568">
        <f>D12/G9</f>
        <v>0.0018646634651594968</v>
      </c>
      <c r="E13" s="568"/>
      <c r="F13" s="568"/>
      <c r="G13" s="568"/>
      <c r="H13" s="568"/>
      <c r="I13" s="568"/>
    </row>
  </sheetData>
  <sheetProtection/>
  <printOptions horizontalCentered="1"/>
  <pageMargins left="0" right="0" top="0.5905511811023623" bottom="0.5905511811023623" header="0" footer="0.2755905511811024"/>
  <pageSetup firstPageNumber="24" useFirstPageNumber="1" horizontalDpi="600" verticalDpi="600" orientation="landscape" paperSize="9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acc102</dc:creator>
  <cp:keywords/>
  <dc:description/>
  <cp:lastModifiedBy>許詩婷</cp:lastModifiedBy>
  <cp:lastPrinted>2018-06-17T06:36:53Z</cp:lastPrinted>
  <dcterms:created xsi:type="dcterms:W3CDTF">2001-02-21T01:53:32Z</dcterms:created>
  <dcterms:modified xsi:type="dcterms:W3CDTF">2018-10-17T10:06:05Z</dcterms:modified>
  <cp:category/>
  <cp:version/>
  <cp:contentType/>
  <cp:contentStatus/>
</cp:coreProperties>
</file>