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2" activeTab="0"/>
  </bookViews>
  <sheets>
    <sheet name="報表程式" sheetId="1" r:id="rId1"/>
    <sheet name="編製說明" sheetId="2" r:id="rId2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<sst xmlns="http://schemas.openxmlformats.org/spreadsheetml/2006/main" count="82" uniqueCount="67">
  <si>
    <t>越南</t>
  </si>
  <si>
    <t>印尼</t>
  </si>
  <si>
    <t>泰國</t>
  </si>
  <si>
    <t>菲律賓</t>
  </si>
  <si>
    <t>柬埔寨</t>
  </si>
  <si>
    <t>日本</t>
  </si>
  <si>
    <t>馬來西亞</t>
  </si>
  <si>
    <t>美國</t>
  </si>
  <si>
    <t>南韓</t>
  </si>
  <si>
    <t>緬甸</t>
  </si>
  <si>
    <t>新加坡</t>
  </si>
  <si>
    <t>加拿大</t>
  </si>
  <si>
    <t>其他</t>
  </si>
  <si>
    <t>填表</t>
  </si>
  <si>
    <t>總計</t>
  </si>
  <si>
    <t>按性別</t>
  </si>
  <si>
    <t>按年級別及性別</t>
  </si>
  <si>
    <t>合計</t>
  </si>
  <si>
    <t>男</t>
  </si>
  <si>
    <t>女</t>
  </si>
  <si>
    <t>審核</t>
  </si>
  <si>
    <t>主辦業務人員</t>
  </si>
  <si>
    <t>機關長官</t>
  </si>
  <si>
    <t>主辦統計人員</t>
  </si>
  <si>
    <t>四、</t>
  </si>
  <si>
    <t>一、</t>
  </si>
  <si>
    <t>二、</t>
  </si>
  <si>
    <t>三、</t>
  </si>
  <si>
    <r>
      <t>分類標準：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</si>
  <si>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橫項目：按性別及年級別分。</t>
    </r>
  </si>
  <si>
    <r>
      <t>統計項目定義：</t>
    </r>
  </si>
  <si>
    <t xml:space="preserve">  </t>
  </si>
  <si>
    <t>五、</t>
  </si>
  <si>
    <t>六、</t>
  </si>
  <si>
    <r>
      <t>編送對象：本表編製一式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份，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份送本府主計處，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份自存。</t>
    </r>
  </si>
  <si>
    <r>
      <t>統計標準時間：以每學年度第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學期</t>
    </r>
    <r>
      <rPr>
        <sz val="16"/>
        <rFont val="Times New Roman"/>
        <family val="1"/>
      </rPr>
      <t>9</t>
    </r>
    <r>
      <rPr>
        <sz val="16"/>
        <rFont val="標楷體"/>
        <family val="4"/>
      </rPr>
      <t>月底之事實為準。</t>
    </r>
  </si>
  <si>
    <t>單位：人</t>
  </si>
  <si>
    <t>編製機關</t>
  </si>
  <si>
    <t>表　　號</t>
  </si>
  <si>
    <t>性別及
年級別</t>
  </si>
  <si>
    <t>總計</t>
  </si>
  <si>
    <t>10411-01-18</t>
  </si>
  <si>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</si>
  <si>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r>
      <t>學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報</t>
    </r>
  </si>
  <si>
    <r>
      <t>於次年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月底前編報</t>
    </r>
  </si>
  <si>
    <r>
      <t xml:space="preserve">   </t>
    </r>
    <r>
      <rPr>
        <sz val="14"/>
        <rFont val="標楷體"/>
        <family val="4"/>
      </rPr>
      <t>男</t>
    </r>
  </si>
  <si>
    <r>
      <t xml:space="preserve">   </t>
    </r>
    <r>
      <rPr>
        <sz val="14"/>
        <rFont val="標楷體"/>
        <family val="4"/>
      </rPr>
      <t>女</t>
    </r>
  </si>
  <si>
    <r>
      <t xml:space="preserve">   </t>
    </r>
    <r>
      <rPr>
        <sz val="14"/>
        <rFont val="標楷體"/>
        <family val="4"/>
      </rPr>
      <t>一年級</t>
    </r>
  </si>
  <si>
    <r>
      <t xml:space="preserve">   </t>
    </r>
    <r>
      <rPr>
        <sz val="14"/>
        <rFont val="標楷體"/>
        <family val="4"/>
      </rPr>
      <t>二年級</t>
    </r>
  </si>
  <si>
    <r>
      <t xml:space="preserve">   </t>
    </r>
    <r>
      <rPr>
        <sz val="14"/>
        <rFont val="標楷體"/>
        <family val="4"/>
      </rPr>
      <t>三年級</t>
    </r>
  </si>
  <si>
    <r>
      <t xml:space="preserve">   </t>
    </r>
    <r>
      <rPr>
        <sz val="14"/>
        <rFont val="標楷體"/>
        <family val="4"/>
      </rPr>
      <t>四年級</t>
    </r>
  </si>
  <si>
    <r>
      <t xml:space="preserve">   </t>
    </r>
    <r>
      <rPr>
        <sz val="14"/>
        <rFont val="標楷體"/>
        <family val="4"/>
      </rPr>
      <t>五年級</t>
    </r>
  </si>
  <si>
    <r>
      <t xml:space="preserve">   </t>
    </r>
    <r>
      <rPr>
        <sz val="14"/>
        <rFont val="標楷體"/>
        <family val="4"/>
      </rPr>
      <t>六年級</t>
    </r>
  </si>
  <si>
    <r>
      <t>填表說明：本表編製一式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份送本府主計處，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份自存。</t>
    </r>
  </si>
  <si>
    <t>大陸、港澳地區</t>
  </si>
  <si>
    <r>
      <t>(</t>
    </r>
    <r>
      <rPr>
        <sz val="16"/>
        <rFont val="標楷體"/>
        <family val="4"/>
      </rPr>
      <t>三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學生數：具有公私立國民小學學籍之新住民子女人數為準。</t>
    </r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</si>
  <si>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新住民：</t>
    </r>
    <r>
      <rPr>
        <sz val="16"/>
        <color indexed="10"/>
        <rFont val="標楷體"/>
        <family val="4"/>
      </rPr>
      <t>配偶為外國人、無國籍人、大陸地區人民及香港、澳門居民，若已入本國籍者亦屬之。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</si>
  <si>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新住民子女：</t>
    </r>
    <r>
      <rPr>
        <sz val="16"/>
        <color indexed="10"/>
        <rFont val="標楷體"/>
        <family val="4"/>
      </rPr>
      <t xml:space="preserve">係指設籍本國之在學學生其生父或生母一方為外國人、無國籍人、大陸地區人民及香港、澳門居民等新住民者，若已入
</t>
    </r>
    <r>
      <rPr>
        <sz val="16"/>
        <color indexed="10"/>
        <rFont val="Times New Roman"/>
        <family val="1"/>
      </rPr>
      <t xml:space="preserve">       </t>
    </r>
    <r>
      <rPr>
        <sz val="16"/>
        <color indexed="10"/>
        <rFont val="標楷體"/>
        <family val="4"/>
      </rPr>
      <t>本國籍，或已死亡、失蹤、離婚，仍應屬之。</t>
    </r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</si>
  <si>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縱項目：按</t>
    </r>
    <r>
      <rPr>
        <sz val="16"/>
        <color indexed="10"/>
        <rFont val="標楷體"/>
        <family val="4"/>
      </rPr>
      <t>大陸、港澳地區</t>
    </r>
    <r>
      <rPr>
        <sz val="16"/>
        <rFont val="標楷體"/>
        <family val="4"/>
      </rPr>
      <t>、越南、印尼、泰國、菲律賓、柬埔寨、日本、馬來西亞、美國、南韓、緬甸、新加坡、加拿大</t>
    </r>
    <r>
      <rPr>
        <sz val="16"/>
        <color indexed="10"/>
        <rFont val="標楷體"/>
        <family val="4"/>
      </rPr>
      <t>及</t>
    </r>
    <r>
      <rPr>
        <sz val="16"/>
        <rFont val="Times New Roman"/>
        <family val="1"/>
      </rPr>
      <t xml:space="preserve">
       </t>
    </r>
    <r>
      <rPr>
        <sz val="16"/>
        <rFont val="標楷體"/>
        <family val="4"/>
      </rPr>
      <t>其他分。</t>
    </r>
  </si>
  <si>
    <t>金門縣國民小學新住民子女就學概況－國籍別編製說明</t>
  </si>
  <si>
    <r>
      <t>統計範圍及對象：凡在本縣</t>
    </r>
    <r>
      <rPr>
        <sz val="16"/>
        <rFont val="標楷體"/>
        <family val="4"/>
      </rPr>
      <t>轄區內已立案之公私立國民小學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含附設但不含特殊教育學校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之新住民子女均為統計對象。</t>
    </r>
  </si>
  <si>
    <r>
      <t>資料蒐集方法及編製程序：依據本縣</t>
    </r>
    <r>
      <rPr>
        <sz val="16"/>
        <rFont val="標楷體"/>
        <family val="4"/>
      </rPr>
      <t>轄區內各公私立國民小學填報教育部「國中小定期公務統計報表網路填報作業系統」資料，經審核後彙編。</t>
    </r>
  </si>
  <si>
    <t>金門縣國民小學新住民子女就學概況－國籍別</t>
  </si>
  <si>
    <r>
      <t>金門縣政府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教育處</t>
    </r>
    <r>
      <rPr>
        <sz val="14"/>
        <rFont val="Times New Roman"/>
        <family val="1"/>
      </rPr>
      <t>)</t>
    </r>
  </si>
  <si>
    <r>
      <t>資料來源：依據本縣</t>
    </r>
    <r>
      <rPr>
        <sz val="12"/>
        <rFont val="標楷體"/>
        <family val="4"/>
      </rPr>
      <t>轄區內各公私立國民小學填報教育部「國中小定期公務統計報表網路填報作業系統」之資料彙編。</t>
    </r>
  </si>
  <si>
    <r>
      <t xml:space="preserve">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 110  </t>
    </r>
    <r>
      <rPr>
        <sz val="12"/>
        <rFont val="標楷體"/>
        <family val="4"/>
      </rPr>
      <t>學年度</t>
    </r>
  </si>
  <si>
    <r>
      <t>中華民國</t>
    </r>
    <r>
      <rPr>
        <sz val="12"/>
        <rFont val="Times New Roman"/>
        <family val="1"/>
      </rPr>
      <t xml:space="preserve"> 111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5 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19 </t>
    </r>
    <r>
      <rPr>
        <sz val="12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</si>
</sst>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Times New Roman"/>
      <family val="1"/>
    </font>
    <font>
      <b/>
      <sz val="24"/>
      <name val="標楷體"/>
      <family val="4"/>
    </font>
    <font>
      <b/>
      <sz val="24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16"/>
      <color indexed="10"/>
      <name val="標楷體"/>
      <family val="4"/>
    </font>
    <font>
      <sz val="16"/>
      <color indexed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rgb="FFFF0000"/>
      <name val="標楷體"/>
      <family val="4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2" applyNumberFormat="0" applyAlignment="0" applyProtection="0"/>
    <xf numFmtId="0" fontId="45" fillId="21" borderId="8" applyNumberFormat="0" applyAlignment="0" applyProtection="0"/>
    <xf numFmtId="0" fontId="46" fillId="29" borderId="9" applyNumberFormat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vertical="top" wrapText="1"/>
    </xf>
    <xf numFmtId="41" fontId="3" fillId="0" borderId="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right"/>
    </xf>
    <xf numFmtId="0" fontId="11" fillId="0" borderId="19" xfId="0" applyFont="1" applyFill="1" applyBorder="1" applyAlignment="1">
      <alignment/>
    </xf>
    <xf numFmtId="0" fontId="49" fillId="0" borderId="13" xfId="33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1" xfId="34" applyFont="1" applyFill="1" applyBorder="1" applyAlignment="1">
      <alignment horizontal="center" vertical="center" wrapText="1"/>
      <protection/>
    </xf>
    <xf numFmtId="0" fontId="3" fillId="0" borderId="18" xfId="34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國中小原住民" xfId="33"/>
    <cellStyle name="一般_複本 1517-03-05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75" zoomScaleNormal="75" zoomScalePageLayoutView="0" workbookViewId="0" topLeftCell="A13">
      <selection activeCell="G31" sqref="G31:H31"/>
    </sheetView>
  </sheetViews>
  <sheetFormatPr defaultColWidth="9.00390625" defaultRowHeight="16.5"/>
  <cols>
    <col min="1" max="1" width="14.625" style="1" customWidth="1"/>
    <col min="2" max="2" width="8.625" style="1" customWidth="1"/>
    <col min="3" max="3" width="11.50390625" style="1" customWidth="1"/>
    <col min="4" max="4" width="14.625" style="1" customWidth="1"/>
    <col min="5" max="17" width="12.625" style="1" customWidth="1"/>
    <col min="18" max="16384" width="9.00390625" style="1" customWidth="1"/>
  </cols>
  <sheetData>
    <row r="1" spans="1:17" ht="19.5">
      <c r="A1" s="3" t="s">
        <v>42</v>
      </c>
      <c r="K1" s="2"/>
      <c r="L1" s="2"/>
      <c r="M1" s="23"/>
      <c r="N1" s="46" t="s">
        <v>37</v>
      </c>
      <c r="O1" s="47"/>
      <c r="P1" s="48" t="s">
        <v>63</v>
      </c>
      <c r="Q1" s="49"/>
    </row>
    <row r="2" spans="1:17" ht="19.5">
      <c r="A2" s="3" t="s">
        <v>43</v>
      </c>
      <c r="B2" s="39" t="s">
        <v>44</v>
      </c>
      <c r="C2" s="5"/>
      <c r="D2" s="5"/>
      <c r="E2" s="5"/>
      <c r="F2" s="5"/>
      <c r="G2" s="5"/>
      <c r="H2" s="5"/>
      <c r="I2" s="5"/>
      <c r="J2" s="5"/>
      <c r="K2" s="2"/>
      <c r="L2" s="2"/>
      <c r="M2" s="33"/>
      <c r="N2" s="46" t="s">
        <v>38</v>
      </c>
      <c r="O2" s="47"/>
      <c r="P2" s="49" t="s">
        <v>41</v>
      </c>
      <c r="Q2" s="49"/>
    </row>
    <row r="3" spans="1:17" ht="36.75" customHeight="1">
      <c r="A3" s="50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s="30" customFormat="1" ht="24.75" customHeight="1">
      <c r="A4" s="45" t="s">
        <v>65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38" t="s">
        <v>36</v>
      </c>
    </row>
    <row r="5" spans="1:17" ht="49.5" customHeight="1">
      <c r="A5" s="43" t="s">
        <v>39</v>
      </c>
      <c r="B5" s="44"/>
      <c r="C5" s="18" t="s">
        <v>40</v>
      </c>
      <c r="D5" s="40" t="s">
        <v>54</v>
      </c>
      <c r="E5" s="19" t="s">
        <v>0</v>
      </c>
      <c r="F5" s="19" t="s">
        <v>1</v>
      </c>
      <c r="G5" s="20" t="s">
        <v>2</v>
      </c>
      <c r="H5" s="21" t="s">
        <v>3</v>
      </c>
      <c r="I5" s="21" t="s">
        <v>4</v>
      </c>
      <c r="J5" s="19" t="s">
        <v>5</v>
      </c>
      <c r="K5" s="19" t="s">
        <v>6</v>
      </c>
      <c r="L5" s="20" t="s">
        <v>7</v>
      </c>
      <c r="M5" s="19" t="s">
        <v>8</v>
      </c>
      <c r="N5" s="19" t="s">
        <v>9</v>
      </c>
      <c r="O5" s="20" t="s">
        <v>10</v>
      </c>
      <c r="P5" s="19" t="s">
        <v>11</v>
      </c>
      <c r="Q5" s="22" t="s">
        <v>12</v>
      </c>
    </row>
    <row r="6" spans="1:17" ht="24.75" customHeight="1">
      <c r="A6" s="24" t="s">
        <v>14</v>
      </c>
      <c r="B6" s="34"/>
      <c r="C6" s="14">
        <f>_xlfn.COMPOUNDVALUE(1)</f>
        <v>670</v>
      </c>
      <c r="D6" s="14">
        <v>603</v>
      </c>
      <c r="E6" s="14">
        <f>_xlfn.COMPOUNDVALUE(2)</f>
        <v>38</v>
      </c>
      <c r="F6" s="14">
        <f>_xlfn.COMPOUNDVALUE(3)</f>
        <v>15</v>
      </c>
      <c r="G6" s="13">
        <f>_xlfn.COMPOUNDVALUE(4)</f>
        <v>1</v>
      </c>
      <c r="H6" s="13">
        <f>_xlfn.COMPOUNDVALUE(5)</f>
        <v>1</v>
      </c>
      <c r="I6" s="13">
        <f>_xlfn.COMPOUNDVALUE(6)</f>
        <v>1</v>
      </c>
      <c r="J6" s="14">
        <f>_xlfn.COMPOUNDVALUE(7)</f>
        <v>2</v>
      </c>
      <c r="K6" s="14">
        <f>_xlfn.COMPOUNDVALUE(8)</f>
        <v>3</v>
      </c>
      <c r="L6" s="13">
        <f>_xlfn.COMPOUNDVALUE(9)</f>
        <v>1</v>
      </c>
      <c r="M6" s="14">
        <f>_xlfn.COMPOUNDVALUE(10)</f>
        <v>2</v>
      </c>
      <c r="N6" s="14">
        <f>_xlfn.COMPOUNDVALUE(11)</f>
        <v>0</v>
      </c>
      <c r="O6" s="13">
        <f>_xlfn.COMPOUNDVALUE(12)</f>
        <v>0</v>
      </c>
      <c r="P6" s="14">
        <f>_xlfn.COMPOUNDVALUE(13)</f>
        <v>0</v>
      </c>
      <c r="Q6" s="14">
        <f>_xlfn.COMPOUNDVALUE(14)</f>
        <v>3</v>
      </c>
    </row>
    <row r="7" spans="1:17" ht="24.75" customHeight="1">
      <c r="A7" s="27" t="s">
        <v>15</v>
      </c>
      <c r="B7" s="35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4.75" customHeight="1">
      <c r="A8" s="36" t="s">
        <v>45</v>
      </c>
      <c r="B8" s="28"/>
      <c r="C8" s="13">
        <f>_xlfn.COMPOUNDVALUE(15)</f>
        <v>340</v>
      </c>
      <c r="D8" s="13">
        <v>307</v>
      </c>
      <c r="E8" s="13">
        <f>_xlfn.COMPOUNDVALUE(16)</f>
        <v>17</v>
      </c>
      <c r="F8" s="13">
        <f>_xlfn.COMPOUNDVALUE(17)</f>
        <v>10</v>
      </c>
      <c r="G8" s="13">
        <f>_xlfn.COMPOUNDVALUE(18)</f>
        <v>0</v>
      </c>
      <c r="H8" s="13">
        <f>_xlfn.COMPOUNDVALUE(19)</f>
        <v>1</v>
      </c>
      <c r="I8" s="13">
        <f>_xlfn.COMPOUNDVALUE(20)</f>
        <v>1</v>
      </c>
      <c r="J8" s="13">
        <f>_xlfn.COMPOUNDVALUE(21)</f>
        <v>1</v>
      </c>
      <c r="K8" s="13">
        <f>_xlfn.COMPOUNDVALUE(22)</f>
        <v>0</v>
      </c>
      <c r="L8" s="13">
        <f>_xlfn.COMPOUNDVALUE(23)</f>
        <v>0</v>
      </c>
      <c r="M8" s="13">
        <f>_xlfn.COMPOUNDVALUE(24)</f>
        <v>1</v>
      </c>
      <c r="N8" s="13">
        <f>_xlfn.COMPOUNDVALUE(25)</f>
        <v>0</v>
      </c>
      <c r="O8" s="13">
        <f>_xlfn.COMPOUNDVALUE(26)</f>
        <v>0</v>
      </c>
      <c r="P8" s="13">
        <f>_xlfn.COMPOUNDVALUE(27)</f>
        <v>0</v>
      </c>
      <c r="Q8" s="13">
        <f>_xlfn.COMPOUNDVALUE(28)</f>
        <v>2</v>
      </c>
    </row>
    <row r="9" spans="1:17" ht="24.75" customHeight="1">
      <c r="A9" s="36" t="s">
        <v>46</v>
      </c>
      <c r="B9" s="28"/>
      <c r="C9" s="13">
        <f>_xlfn.COMPOUNDVALUE(29)</f>
        <v>330</v>
      </c>
      <c r="D9" s="13">
        <v>296</v>
      </c>
      <c r="E9" s="13">
        <f>_xlfn.COMPOUNDVALUE(30)</f>
        <v>21</v>
      </c>
      <c r="F9" s="13">
        <f>_xlfn.COMPOUNDVALUE(31)</f>
        <v>5</v>
      </c>
      <c r="G9" s="13">
        <f>_xlfn.COMPOUNDVALUE(32)</f>
        <v>1</v>
      </c>
      <c r="H9" s="13">
        <f>_xlfn.COMPOUNDVALUE(33)</f>
        <v>0</v>
      </c>
      <c r="I9" s="13">
        <f>_xlfn.COMPOUNDVALUE(34)</f>
        <v>0</v>
      </c>
      <c r="J9" s="13">
        <f>_xlfn.COMPOUNDVALUE(35)</f>
        <v>1</v>
      </c>
      <c r="K9" s="13">
        <f>_xlfn.COMPOUNDVALUE(36)</f>
        <v>3</v>
      </c>
      <c r="L9" s="13">
        <f>_xlfn.COMPOUNDVALUE(37)</f>
        <v>1</v>
      </c>
      <c r="M9" s="13">
        <f>_xlfn.COMPOUNDVALUE(38)</f>
        <v>1</v>
      </c>
      <c r="N9" s="13">
        <f>_xlfn.COMPOUNDVALUE(39)</f>
        <v>0</v>
      </c>
      <c r="O9" s="13">
        <f>_xlfn.COMPOUNDVALUE(40)</f>
        <v>0</v>
      </c>
      <c r="P9" s="13">
        <f>_xlfn.COMPOUNDVALUE(41)</f>
        <v>0</v>
      </c>
      <c r="Q9" s="13">
        <f>_xlfn.COMPOUNDVALUE(42)</f>
        <v>1</v>
      </c>
    </row>
    <row r="10" spans="1:17" ht="24.75" customHeight="1">
      <c r="A10" s="27" t="s">
        <v>16</v>
      </c>
      <c r="B10" s="2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24.75" customHeight="1">
      <c r="A11" s="2" t="s">
        <v>47</v>
      </c>
      <c r="B11" s="25" t="s">
        <v>17</v>
      </c>
      <c r="C11" s="13">
        <f>_xlfn.COMPOUNDVALUE(43)</f>
        <v>79</v>
      </c>
      <c r="D11" s="13">
        <v>71</v>
      </c>
      <c r="E11" s="13">
        <f>_xlfn.COMPOUNDVALUE(44)</f>
        <v>4</v>
      </c>
      <c r="F11" s="13">
        <f>_xlfn.COMPOUNDVALUE(45)</f>
        <v>1</v>
      </c>
      <c r="G11" s="13">
        <f>_xlfn.COMPOUNDVALUE(46)</f>
        <v>0</v>
      </c>
      <c r="H11" s="13">
        <f>_xlfn.COMPOUNDVALUE(47)</f>
        <v>0</v>
      </c>
      <c r="I11" s="13">
        <f>_xlfn.COMPOUNDVALUE(48)</f>
        <v>0</v>
      </c>
      <c r="J11" s="13">
        <f>_xlfn.COMPOUNDVALUE(49)</f>
        <v>0</v>
      </c>
      <c r="K11" s="13">
        <f>_xlfn.COMPOUNDVALUE(50)</f>
        <v>1</v>
      </c>
      <c r="L11" s="13">
        <f>_xlfn.COMPOUNDVALUE(51)</f>
        <v>0</v>
      </c>
      <c r="M11" s="13">
        <f>_xlfn.COMPOUNDVALUE(52)</f>
        <v>1</v>
      </c>
      <c r="N11" s="13">
        <f>_xlfn.COMPOUNDVALUE(53)</f>
        <v>0</v>
      </c>
      <c r="O11" s="13">
        <f>_xlfn.COMPOUNDVALUE(54)</f>
        <v>0</v>
      </c>
      <c r="P11" s="13">
        <f>_xlfn.COMPOUNDVALUE(55)</f>
        <v>0</v>
      </c>
      <c r="Q11" s="13">
        <f>_xlfn.COMPOUNDVALUE(56)</f>
        <v>1</v>
      </c>
    </row>
    <row r="12" spans="1:17" ht="24.75" customHeight="1">
      <c r="A12" s="2"/>
      <c r="B12" s="25" t="s">
        <v>18</v>
      </c>
      <c r="C12" s="13">
        <f>_xlfn.COMPOUNDVALUE(57)</f>
        <v>36</v>
      </c>
      <c r="D12" s="13">
        <v>32</v>
      </c>
      <c r="E12" s="13">
        <f>_xlfn.COMPOUNDVALUE(58)</f>
        <v>1</v>
      </c>
      <c r="F12" s="13">
        <f>_xlfn.COMPOUNDVALUE(59)</f>
        <v>1</v>
      </c>
      <c r="G12" s="13">
        <f>_xlfn.COMPOUNDVALUE(60)</f>
        <v>0</v>
      </c>
      <c r="H12" s="13">
        <f>_xlfn.COMPOUNDVALUE(61)</f>
        <v>0</v>
      </c>
      <c r="I12" s="13">
        <f>_xlfn.COMPOUNDVALUE(62)</f>
        <v>0</v>
      </c>
      <c r="J12" s="13">
        <f>_xlfn.COMPOUNDVALUE(63)</f>
        <v>0</v>
      </c>
      <c r="K12" s="13">
        <f>_xlfn.COMPOUNDVALUE(64)</f>
        <v>0</v>
      </c>
      <c r="L12" s="13">
        <f>_xlfn.COMPOUNDVALUE(65)</f>
        <v>0</v>
      </c>
      <c r="M12" s="13">
        <f>_xlfn.COMPOUNDVALUE(66)</f>
        <v>1</v>
      </c>
      <c r="N12" s="13">
        <f>_xlfn.COMPOUNDVALUE(67)</f>
        <v>0</v>
      </c>
      <c r="O12" s="13">
        <f>_xlfn.COMPOUNDVALUE(68)</f>
        <v>0</v>
      </c>
      <c r="P12" s="13">
        <f>_xlfn.COMPOUNDVALUE(69)</f>
        <v>0</v>
      </c>
      <c r="Q12" s="13">
        <f>_xlfn.COMPOUNDVALUE(70)</f>
        <v>1</v>
      </c>
    </row>
    <row r="13" spans="1:17" ht="24.75" customHeight="1">
      <c r="A13" s="2"/>
      <c r="B13" s="25" t="s">
        <v>19</v>
      </c>
      <c r="C13" s="13">
        <f>_xlfn.COMPOUNDVALUE(71)</f>
        <v>43</v>
      </c>
      <c r="D13" s="13">
        <v>39</v>
      </c>
      <c r="E13" s="13">
        <f>_xlfn.COMPOUNDVALUE(72)</f>
        <v>3</v>
      </c>
      <c r="F13" s="13">
        <f>_xlfn.COMPOUNDVALUE(73)</f>
        <v>0</v>
      </c>
      <c r="G13" s="13">
        <f>_xlfn.COMPOUNDVALUE(74)</f>
        <v>0</v>
      </c>
      <c r="H13" s="13">
        <f>_xlfn.COMPOUNDVALUE(75)</f>
        <v>0</v>
      </c>
      <c r="I13" s="13">
        <f>_xlfn.COMPOUNDVALUE(76)</f>
        <v>0</v>
      </c>
      <c r="J13" s="13">
        <f>_xlfn.COMPOUNDVALUE(77)</f>
        <v>0</v>
      </c>
      <c r="K13" s="13">
        <f>_xlfn.COMPOUNDVALUE(78)</f>
        <v>1</v>
      </c>
      <c r="L13" s="13">
        <f>_xlfn.COMPOUNDVALUE(79)</f>
        <v>0</v>
      </c>
      <c r="M13" s="13">
        <f>_xlfn.COMPOUNDVALUE(80)</f>
        <v>0</v>
      </c>
      <c r="N13" s="13">
        <f>_xlfn.COMPOUNDVALUE(81)</f>
        <v>0</v>
      </c>
      <c r="O13" s="13">
        <f>_xlfn.COMPOUNDVALUE(82)</f>
        <v>0</v>
      </c>
      <c r="P13" s="13">
        <f>_xlfn.COMPOUNDVALUE(83)</f>
        <v>0</v>
      </c>
      <c r="Q13" s="13">
        <f>_xlfn.COMPOUNDVALUE(84)</f>
        <v>0</v>
      </c>
    </row>
    <row r="14" spans="1:17" ht="24.75" customHeight="1">
      <c r="A14" s="2" t="s">
        <v>48</v>
      </c>
      <c r="B14" s="25" t="s">
        <v>17</v>
      </c>
      <c r="C14" s="13">
        <f>_xlfn.COMPOUNDVALUE(85)</f>
        <v>95</v>
      </c>
      <c r="D14" s="13">
        <v>90</v>
      </c>
      <c r="E14" s="13">
        <f>_xlfn.COMPOUNDVALUE(86)</f>
        <v>2</v>
      </c>
      <c r="F14" s="13">
        <f>_xlfn.COMPOUNDVALUE(87)</f>
        <v>1</v>
      </c>
      <c r="G14" s="13">
        <f>_xlfn.COMPOUNDVALUE(88)</f>
        <v>0</v>
      </c>
      <c r="H14" s="13">
        <f>_xlfn.COMPOUNDVALUE(89)</f>
        <v>0</v>
      </c>
      <c r="I14" s="13">
        <f>_xlfn.COMPOUNDVALUE(90)</f>
        <v>0</v>
      </c>
      <c r="J14" s="13">
        <f>_xlfn.COMPOUNDVALUE(91)</f>
        <v>0</v>
      </c>
      <c r="K14" s="13">
        <f>_xlfn.COMPOUNDVALUE(92)</f>
        <v>1</v>
      </c>
      <c r="L14" s="13">
        <f>_xlfn.COMPOUNDVALUE(93)</f>
        <v>0</v>
      </c>
      <c r="M14" s="13">
        <f>_xlfn.COMPOUNDVALUE(94)</f>
        <v>0</v>
      </c>
      <c r="N14" s="13">
        <f>_xlfn.COMPOUNDVALUE(95)</f>
        <v>0</v>
      </c>
      <c r="O14" s="13">
        <f>_xlfn.COMPOUNDVALUE(96)</f>
        <v>0</v>
      </c>
      <c r="P14" s="13">
        <f>_xlfn.COMPOUNDVALUE(97)</f>
        <v>0</v>
      </c>
      <c r="Q14" s="13">
        <f>_xlfn.COMPOUNDVALUE(98)</f>
        <v>1</v>
      </c>
    </row>
    <row r="15" spans="1:17" ht="24.75" customHeight="1">
      <c r="A15" s="2"/>
      <c r="B15" s="25" t="s">
        <v>18</v>
      </c>
      <c r="C15" s="13">
        <f>_xlfn.COMPOUNDVALUE(99)</f>
        <v>60</v>
      </c>
      <c r="D15" s="13">
        <v>57</v>
      </c>
      <c r="E15" s="13">
        <f>_xlfn.COMPOUNDVALUE(100)</f>
        <v>1</v>
      </c>
      <c r="F15" s="13">
        <f>_xlfn.COMPOUNDVALUE(101)</f>
        <v>1</v>
      </c>
      <c r="G15" s="13">
        <f>_xlfn.COMPOUNDVALUE(102)</f>
        <v>0</v>
      </c>
      <c r="H15" s="13">
        <f>_xlfn.COMPOUNDVALUE(103)</f>
        <v>0</v>
      </c>
      <c r="I15" s="13">
        <f>_xlfn.COMPOUNDVALUE(104)</f>
        <v>0</v>
      </c>
      <c r="J15" s="13">
        <f>_xlfn.COMPOUNDVALUE(105)</f>
        <v>0</v>
      </c>
      <c r="K15" s="13">
        <f>_xlfn.COMPOUNDVALUE(106)</f>
        <v>0</v>
      </c>
      <c r="L15" s="13">
        <f>_xlfn.COMPOUNDVALUE(107)</f>
        <v>0</v>
      </c>
      <c r="M15" s="13">
        <f>_xlfn.COMPOUNDVALUE(108)</f>
        <v>0</v>
      </c>
      <c r="N15" s="13">
        <f>_xlfn.COMPOUNDVALUE(109)</f>
        <v>0</v>
      </c>
      <c r="O15" s="13">
        <f>_xlfn.COMPOUNDVALUE(110)</f>
        <v>0</v>
      </c>
      <c r="P15" s="13">
        <f>_xlfn.COMPOUNDVALUE(111)</f>
        <v>0</v>
      </c>
      <c r="Q15" s="13">
        <f>_xlfn.COMPOUNDVALUE(112)</f>
        <v>1</v>
      </c>
    </row>
    <row r="16" spans="1:17" ht="24.75" customHeight="1">
      <c r="A16" s="2"/>
      <c r="B16" s="25" t="s">
        <v>19</v>
      </c>
      <c r="C16" s="13">
        <f>_xlfn.COMPOUNDVALUE(113)</f>
        <v>35</v>
      </c>
      <c r="D16" s="13">
        <v>33</v>
      </c>
      <c r="E16" s="13">
        <f>_xlfn.COMPOUNDVALUE(114)</f>
        <v>1</v>
      </c>
      <c r="F16" s="13">
        <f>_xlfn.COMPOUNDVALUE(115)</f>
        <v>0</v>
      </c>
      <c r="G16" s="13">
        <f>_xlfn.COMPOUNDVALUE(116)</f>
        <v>0</v>
      </c>
      <c r="H16" s="13">
        <f>_xlfn.COMPOUNDVALUE(117)</f>
        <v>0</v>
      </c>
      <c r="I16" s="13">
        <f>_xlfn.COMPOUNDVALUE(118)</f>
        <v>0</v>
      </c>
      <c r="J16" s="13">
        <f>_xlfn.COMPOUNDVALUE(119)</f>
        <v>0</v>
      </c>
      <c r="K16" s="13">
        <f>_xlfn.COMPOUNDVALUE(120)</f>
        <v>1</v>
      </c>
      <c r="L16" s="13">
        <f>_xlfn.COMPOUNDVALUE(121)</f>
        <v>0</v>
      </c>
      <c r="M16" s="13">
        <f>_xlfn.COMPOUNDVALUE(122)</f>
        <v>0</v>
      </c>
      <c r="N16" s="13">
        <f>_xlfn.COMPOUNDVALUE(123)</f>
        <v>0</v>
      </c>
      <c r="O16" s="13">
        <f>_xlfn.COMPOUNDVALUE(124)</f>
        <v>0</v>
      </c>
      <c r="P16" s="13">
        <f>_xlfn.COMPOUNDVALUE(125)</f>
        <v>0</v>
      </c>
      <c r="Q16" s="13">
        <f>_xlfn.COMPOUNDVALUE(126)</f>
        <v>0</v>
      </c>
    </row>
    <row r="17" spans="1:17" ht="24.75" customHeight="1">
      <c r="A17" s="2" t="s">
        <v>49</v>
      </c>
      <c r="B17" s="25" t="s">
        <v>17</v>
      </c>
      <c r="C17" s="13">
        <f>_xlfn.COMPOUNDVALUE(127)</f>
        <v>109</v>
      </c>
      <c r="D17" s="13">
        <v>102</v>
      </c>
      <c r="E17" s="13">
        <f>_xlfn.COMPOUNDVALUE(128)</f>
        <v>5</v>
      </c>
      <c r="F17" s="13">
        <f>_xlfn.COMPOUNDVALUE(129)</f>
        <v>1</v>
      </c>
      <c r="G17" s="13">
        <f>_xlfn.COMPOUNDVALUE(130)</f>
        <v>0</v>
      </c>
      <c r="H17" s="13">
        <f>_xlfn.COMPOUNDVALUE(131)</f>
        <v>0</v>
      </c>
      <c r="I17" s="13">
        <f>_xlfn.COMPOUNDVALUE(132)</f>
        <v>0</v>
      </c>
      <c r="J17" s="13">
        <f>_xlfn.COMPOUNDVALUE(133)</f>
        <v>0</v>
      </c>
      <c r="K17" s="13">
        <f>_xlfn.COMPOUNDVALUE(134)</f>
        <v>0</v>
      </c>
      <c r="L17" s="13">
        <f>_xlfn.COMPOUNDVALUE(135)</f>
        <v>0</v>
      </c>
      <c r="M17" s="13">
        <f>_xlfn.COMPOUNDVALUE(136)</f>
        <v>1</v>
      </c>
      <c r="N17" s="13">
        <f>_xlfn.COMPOUNDVALUE(137)</f>
        <v>0</v>
      </c>
      <c r="O17" s="13">
        <f>_xlfn.COMPOUNDVALUE(138)</f>
        <v>0</v>
      </c>
      <c r="P17" s="13">
        <f>_xlfn.COMPOUNDVALUE(139)</f>
        <v>0</v>
      </c>
      <c r="Q17" s="13">
        <f>_xlfn.COMPOUNDVALUE(140)</f>
        <v>0</v>
      </c>
    </row>
    <row r="18" spans="1:17" ht="24.75" customHeight="1">
      <c r="A18" s="2"/>
      <c r="B18" s="25" t="s">
        <v>18</v>
      </c>
      <c r="C18" s="13">
        <f>_xlfn.COMPOUNDVALUE(141)</f>
        <v>64</v>
      </c>
      <c r="D18" s="13">
        <v>59</v>
      </c>
      <c r="E18" s="13">
        <f>_xlfn.COMPOUNDVALUE(142)</f>
        <v>4</v>
      </c>
      <c r="F18" s="13">
        <f>_xlfn.COMPOUNDVALUE(143)</f>
        <v>1</v>
      </c>
      <c r="G18" s="13">
        <f>_xlfn.COMPOUNDVALUE(144)</f>
        <v>0</v>
      </c>
      <c r="H18" s="13">
        <f>_xlfn.COMPOUNDVALUE(145)</f>
        <v>0</v>
      </c>
      <c r="I18" s="13">
        <f>_xlfn.COMPOUNDVALUE(146)</f>
        <v>0</v>
      </c>
      <c r="J18" s="13">
        <f>_xlfn.COMPOUNDVALUE(147)</f>
        <v>0</v>
      </c>
      <c r="K18" s="13">
        <f>_xlfn.COMPOUNDVALUE(148)</f>
        <v>0</v>
      </c>
      <c r="L18" s="13">
        <f>_xlfn.COMPOUNDVALUE(149)</f>
        <v>0</v>
      </c>
      <c r="M18" s="13">
        <f>_xlfn.COMPOUNDVALUE(150)</f>
        <v>0</v>
      </c>
      <c r="N18" s="13">
        <f>_xlfn.COMPOUNDVALUE(151)</f>
        <v>0</v>
      </c>
      <c r="O18" s="13">
        <f>_xlfn.COMPOUNDVALUE(152)</f>
        <v>0</v>
      </c>
      <c r="P18" s="13">
        <f>_xlfn.COMPOUNDVALUE(153)</f>
        <v>0</v>
      </c>
      <c r="Q18" s="13">
        <f>_xlfn.COMPOUNDVALUE(154)</f>
        <v>0</v>
      </c>
    </row>
    <row r="19" spans="1:17" ht="24.75" customHeight="1">
      <c r="A19" s="2"/>
      <c r="B19" s="25" t="s">
        <v>19</v>
      </c>
      <c r="C19" s="13">
        <f>_xlfn.COMPOUNDVALUE(155)</f>
        <v>45</v>
      </c>
      <c r="D19" s="13">
        <v>43</v>
      </c>
      <c r="E19" s="13">
        <f>_xlfn.COMPOUNDVALUE(156)</f>
        <v>1</v>
      </c>
      <c r="F19" s="13">
        <f>_xlfn.COMPOUNDVALUE(157)</f>
        <v>0</v>
      </c>
      <c r="G19" s="13">
        <f>_xlfn.COMPOUNDVALUE(158)</f>
        <v>0</v>
      </c>
      <c r="H19" s="13">
        <f>_xlfn.COMPOUNDVALUE(159)</f>
        <v>0</v>
      </c>
      <c r="I19" s="13">
        <f>_xlfn.COMPOUNDVALUE(160)</f>
        <v>0</v>
      </c>
      <c r="J19" s="13">
        <f>_xlfn.COMPOUNDVALUE(161)</f>
        <v>0</v>
      </c>
      <c r="K19" s="13">
        <f>_xlfn.COMPOUNDVALUE(162)</f>
        <v>0</v>
      </c>
      <c r="L19" s="13">
        <f>_xlfn.COMPOUNDVALUE(163)</f>
        <v>0</v>
      </c>
      <c r="M19" s="13">
        <f>_xlfn.COMPOUNDVALUE(164)</f>
        <v>1</v>
      </c>
      <c r="N19" s="13">
        <f>_xlfn.COMPOUNDVALUE(165)</f>
        <v>0</v>
      </c>
      <c r="O19" s="13">
        <f>_xlfn.COMPOUNDVALUE(166)</f>
        <v>0</v>
      </c>
      <c r="P19" s="13">
        <f>_xlfn.COMPOUNDVALUE(167)</f>
        <v>0</v>
      </c>
      <c r="Q19" s="13">
        <f>_xlfn.COMPOUNDVALUE(168)</f>
        <v>0</v>
      </c>
    </row>
    <row r="20" spans="1:17" ht="24.75" customHeight="1">
      <c r="A20" s="2" t="s">
        <v>50</v>
      </c>
      <c r="B20" s="25" t="s">
        <v>17</v>
      </c>
      <c r="C20" s="13">
        <f>_xlfn.COMPOUNDVALUE(169)</f>
        <v>119</v>
      </c>
      <c r="D20" s="13">
        <v>110</v>
      </c>
      <c r="E20" s="13">
        <f>_xlfn.COMPOUNDVALUE(170)</f>
        <v>5</v>
      </c>
      <c r="F20" s="13">
        <f>_xlfn.COMPOUNDVALUE(171)</f>
        <v>2</v>
      </c>
      <c r="G20" s="13">
        <f>_xlfn.COMPOUNDVALUE(172)</f>
        <v>0</v>
      </c>
      <c r="H20" s="13">
        <f>_xlfn.COMPOUNDVALUE(173)</f>
        <v>0</v>
      </c>
      <c r="I20" s="13">
        <f>_xlfn.COMPOUNDVALUE(174)</f>
        <v>0</v>
      </c>
      <c r="J20" s="13">
        <f>_xlfn.COMPOUNDVALUE(175)</f>
        <v>1</v>
      </c>
      <c r="K20" s="13">
        <f>_xlfn.COMPOUNDVALUE(176)</f>
        <v>1</v>
      </c>
      <c r="L20" s="13">
        <f>_xlfn.COMPOUNDVALUE(177)</f>
        <v>0</v>
      </c>
      <c r="M20" s="13">
        <f>_xlfn.COMPOUNDVALUE(178)</f>
        <v>0</v>
      </c>
      <c r="N20" s="13">
        <f>_xlfn.COMPOUNDVALUE(179)</f>
        <v>0</v>
      </c>
      <c r="O20" s="13">
        <f>_xlfn.COMPOUNDVALUE(180)</f>
        <v>0</v>
      </c>
      <c r="P20" s="13">
        <f>_xlfn.COMPOUNDVALUE(181)</f>
        <v>0</v>
      </c>
      <c r="Q20" s="13">
        <f>_xlfn.COMPOUNDVALUE(182)</f>
        <v>0</v>
      </c>
    </row>
    <row r="21" spans="1:17" ht="24.75" customHeight="1">
      <c r="A21" s="2"/>
      <c r="B21" s="25" t="s">
        <v>18</v>
      </c>
      <c r="C21" s="13">
        <f>_xlfn.COMPOUNDVALUE(183)</f>
        <v>57</v>
      </c>
      <c r="D21" s="13">
        <v>53</v>
      </c>
      <c r="E21" s="13">
        <f>_xlfn.COMPOUNDVALUE(184)</f>
        <v>2</v>
      </c>
      <c r="F21" s="13">
        <f>_xlfn.COMPOUNDVALUE(185)</f>
        <v>2</v>
      </c>
      <c r="G21" s="13">
        <f>_xlfn.COMPOUNDVALUE(186)</f>
        <v>0</v>
      </c>
      <c r="H21" s="13">
        <f>_xlfn.COMPOUNDVALUE(187)</f>
        <v>0</v>
      </c>
      <c r="I21" s="13">
        <f>_xlfn.COMPOUNDVALUE(188)</f>
        <v>0</v>
      </c>
      <c r="J21" s="13">
        <f>_xlfn.COMPOUNDVALUE(189)</f>
        <v>0</v>
      </c>
      <c r="K21" s="13">
        <f>_xlfn.COMPOUNDVALUE(190)</f>
        <v>0</v>
      </c>
      <c r="L21" s="13">
        <f>_xlfn.COMPOUNDVALUE(191)</f>
        <v>0</v>
      </c>
      <c r="M21" s="13">
        <f>_xlfn.COMPOUNDVALUE(192)</f>
        <v>0</v>
      </c>
      <c r="N21" s="13">
        <f>_xlfn.COMPOUNDVALUE(193)</f>
        <v>0</v>
      </c>
      <c r="O21" s="13">
        <f>_xlfn.COMPOUNDVALUE(194)</f>
        <v>0</v>
      </c>
      <c r="P21" s="13">
        <f>_xlfn.COMPOUNDVALUE(195)</f>
        <v>0</v>
      </c>
      <c r="Q21" s="13">
        <f>_xlfn.COMPOUNDVALUE(196)</f>
        <v>0</v>
      </c>
    </row>
    <row r="22" spans="1:17" ht="24.75" customHeight="1">
      <c r="A22" s="2"/>
      <c r="B22" s="25" t="s">
        <v>19</v>
      </c>
      <c r="C22" s="13">
        <f>_xlfn.COMPOUNDVALUE(197)</f>
        <v>62</v>
      </c>
      <c r="D22" s="13">
        <v>57</v>
      </c>
      <c r="E22" s="13">
        <f>_xlfn.COMPOUNDVALUE(198)</f>
        <v>3</v>
      </c>
      <c r="F22" s="13">
        <f>_xlfn.COMPOUNDVALUE(199)</f>
        <v>0</v>
      </c>
      <c r="G22" s="13">
        <f>_xlfn.COMPOUNDVALUE(200)</f>
        <v>0</v>
      </c>
      <c r="H22" s="13">
        <f>_xlfn.COMPOUNDVALUE(201)</f>
        <v>0</v>
      </c>
      <c r="I22" s="13">
        <f>_xlfn.COMPOUNDVALUE(202)</f>
        <v>0</v>
      </c>
      <c r="J22" s="13">
        <f>_xlfn.COMPOUNDVALUE(203)</f>
        <v>1</v>
      </c>
      <c r="K22" s="13">
        <f>_xlfn.COMPOUNDVALUE(204)</f>
        <v>1</v>
      </c>
      <c r="L22" s="13">
        <f>_xlfn.COMPOUNDVALUE(205)</f>
        <v>0</v>
      </c>
      <c r="M22" s="13">
        <f>_xlfn.COMPOUNDVALUE(206)</f>
        <v>0</v>
      </c>
      <c r="N22" s="13">
        <f>_xlfn.COMPOUNDVALUE(207)</f>
        <v>0</v>
      </c>
      <c r="O22" s="13">
        <f>_xlfn.COMPOUNDVALUE(208)</f>
        <v>0</v>
      </c>
      <c r="P22" s="13">
        <f>_xlfn.COMPOUNDVALUE(209)</f>
        <v>0</v>
      </c>
      <c r="Q22" s="13">
        <f>_xlfn.COMPOUNDVALUE(210)</f>
        <v>0</v>
      </c>
    </row>
    <row r="23" spans="1:17" ht="24.75" customHeight="1">
      <c r="A23" s="2" t="s">
        <v>51</v>
      </c>
      <c r="B23" s="25" t="s">
        <v>17</v>
      </c>
      <c r="C23" s="13">
        <f>_xlfn.COMPOUNDVALUE(211)</f>
        <v>142</v>
      </c>
      <c r="D23" s="13">
        <v>120</v>
      </c>
      <c r="E23" s="13">
        <f>_xlfn.COMPOUNDVALUE(212)</f>
        <v>15</v>
      </c>
      <c r="F23" s="13">
        <f>_xlfn.COMPOUNDVALUE(213)</f>
        <v>3</v>
      </c>
      <c r="G23" s="13">
        <f>_xlfn.COMPOUNDVALUE(214)</f>
        <v>1</v>
      </c>
      <c r="H23" s="13">
        <f>_xlfn.COMPOUNDVALUE(215)</f>
        <v>1</v>
      </c>
      <c r="I23" s="13">
        <f>_xlfn.COMPOUNDVALUE(216)</f>
        <v>1</v>
      </c>
      <c r="J23" s="13">
        <f>_xlfn.COMPOUNDVALUE(217)</f>
        <v>1</v>
      </c>
      <c r="K23" s="13">
        <f>_xlfn.COMPOUNDVALUE(218)</f>
        <v>0</v>
      </c>
      <c r="L23" s="13">
        <f>_xlfn.COMPOUNDVALUE(219)</f>
        <v>0</v>
      </c>
      <c r="M23" s="13">
        <f>_xlfn.COMPOUNDVALUE(220)</f>
        <v>0</v>
      </c>
      <c r="N23" s="13">
        <f>_xlfn.COMPOUNDVALUE(221)</f>
        <v>0</v>
      </c>
      <c r="O23" s="13">
        <f>_xlfn.COMPOUNDVALUE(222)</f>
        <v>0</v>
      </c>
      <c r="P23" s="13">
        <f>_xlfn.COMPOUNDVALUE(223)</f>
        <v>0</v>
      </c>
      <c r="Q23" s="13">
        <f>_xlfn.COMPOUNDVALUE(224)</f>
        <v>0</v>
      </c>
    </row>
    <row r="24" spans="1:17" ht="24.75" customHeight="1">
      <c r="A24" s="2"/>
      <c r="B24" s="25" t="s">
        <v>18</v>
      </c>
      <c r="C24" s="13">
        <f>_xlfn.COMPOUNDVALUE(225)</f>
        <v>71</v>
      </c>
      <c r="D24" s="13">
        <v>62</v>
      </c>
      <c r="E24" s="13">
        <f>_xlfn.COMPOUNDVALUE(226)</f>
        <v>4</v>
      </c>
      <c r="F24" s="13">
        <f>_xlfn.COMPOUNDVALUE(227)</f>
        <v>2</v>
      </c>
      <c r="G24" s="13">
        <f>_xlfn.COMPOUNDVALUE(228)</f>
        <v>0</v>
      </c>
      <c r="H24" s="13">
        <f>_xlfn.COMPOUNDVALUE(229)</f>
        <v>1</v>
      </c>
      <c r="I24" s="13">
        <f>_xlfn.COMPOUNDVALUE(230)</f>
        <v>1</v>
      </c>
      <c r="J24" s="13">
        <f>_xlfn.COMPOUNDVALUE(231)</f>
        <v>1</v>
      </c>
      <c r="K24" s="13">
        <f>_xlfn.COMPOUNDVALUE(232)</f>
        <v>0</v>
      </c>
      <c r="L24" s="13">
        <f>_xlfn.COMPOUNDVALUE(233)</f>
        <v>0</v>
      </c>
      <c r="M24" s="13">
        <f>_xlfn.COMPOUNDVALUE(234)</f>
        <v>0</v>
      </c>
      <c r="N24" s="13">
        <f>_xlfn.COMPOUNDVALUE(235)</f>
        <v>0</v>
      </c>
      <c r="O24" s="13">
        <f>_xlfn.COMPOUNDVALUE(236)</f>
        <v>0</v>
      </c>
      <c r="P24" s="13">
        <f>_xlfn.COMPOUNDVALUE(237)</f>
        <v>0</v>
      </c>
      <c r="Q24" s="13">
        <f>_xlfn.COMPOUNDVALUE(238)</f>
        <v>0</v>
      </c>
    </row>
    <row r="25" spans="1:17" ht="24.75" customHeight="1">
      <c r="A25" s="2"/>
      <c r="B25" s="25" t="s">
        <v>19</v>
      </c>
      <c r="C25" s="13">
        <f>_xlfn.COMPOUNDVALUE(239)</f>
        <v>71</v>
      </c>
      <c r="D25" s="13">
        <v>58</v>
      </c>
      <c r="E25" s="13">
        <f>_xlfn.COMPOUNDVALUE(240)</f>
        <v>11</v>
      </c>
      <c r="F25" s="13">
        <f>_xlfn.COMPOUNDVALUE(241)</f>
        <v>1</v>
      </c>
      <c r="G25" s="13">
        <f>_xlfn.COMPOUNDVALUE(242)</f>
        <v>1</v>
      </c>
      <c r="H25" s="13">
        <f>_xlfn.COMPOUNDVALUE(243)</f>
        <v>0</v>
      </c>
      <c r="I25" s="13">
        <f>_xlfn.COMPOUNDVALUE(244)</f>
        <v>0</v>
      </c>
      <c r="J25" s="13">
        <f>_xlfn.COMPOUNDVALUE(245)</f>
        <v>0</v>
      </c>
      <c r="K25" s="13">
        <f>_xlfn.COMPOUNDVALUE(246)</f>
        <v>0</v>
      </c>
      <c r="L25" s="13">
        <f>_xlfn.COMPOUNDVALUE(247)</f>
        <v>0</v>
      </c>
      <c r="M25" s="13">
        <f>_xlfn.COMPOUNDVALUE(248)</f>
        <v>0</v>
      </c>
      <c r="N25" s="13">
        <f>_xlfn.COMPOUNDVALUE(249)</f>
        <v>0</v>
      </c>
      <c r="O25" s="13">
        <f>_xlfn.COMPOUNDVALUE(250)</f>
        <v>0</v>
      </c>
      <c r="P25" s="13">
        <f>_xlfn.COMPOUNDVALUE(251)</f>
        <v>0</v>
      </c>
      <c r="Q25" s="13">
        <f>_xlfn.COMPOUNDVALUE(252)</f>
        <v>0</v>
      </c>
    </row>
    <row r="26" spans="1:17" ht="24.75" customHeight="1">
      <c r="A26" s="2" t="s">
        <v>52</v>
      </c>
      <c r="B26" s="25" t="s">
        <v>17</v>
      </c>
      <c r="C26" s="13">
        <f>_xlfn.COMPOUNDVALUE(253)</f>
        <v>126</v>
      </c>
      <c r="D26" s="13">
        <v>110</v>
      </c>
      <c r="E26" s="13">
        <f>_xlfn.COMPOUNDVALUE(254)</f>
        <v>7</v>
      </c>
      <c r="F26" s="13">
        <f>_xlfn.COMPOUNDVALUE(255)</f>
        <v>7</v>
      </c>
      <c r="G26" s="13">
        <f>_xlfn.COMPOUNDVALUE(256)</f>
        <v>0</v>
      </c>
      <c r="H26" s="13">
        <f>_xlfn.COMPOUNDVALUE(257)</f>
        <v>0</v>
      </c>
      <c r="I26" s="13">
        <f>_xlfn.COMPOUNDVALUE(258)</f>
        <v>0</v>
      </c>
      <c r="J26" s="13">
        <f>_xlfn.COMPOUNDVALUE(259)</f>
        <v>0</v>
      </c>
      <c r="K26" s="13">
        <f>_xlfn.COMPOUNDVALUE(260)</f>
        <v>0</v>
      </c>
      <c r="L26" s="13">
        <f>_xlfn.COMPOUNDVALUE(261)</f>
        <v>1</v>
      </c>
      <c r="M26" s="13">
        <f>_xlfn.COMPOUNDVALUE(262)</f>
        <v>0</v>
      </c>
      <c r="N26" s="13">
        <f>_xlfn.COMPOUNDVALUE(263)</f>
        <v>0</v>
      </c>
      <c r="O26" s="13">
        <f>_xlfn.COMPOUNDVALUE(264)</f>
        <v>0</v>
      </c>
      <c r="P26" s="13">
        <f>_xlfn.COMPOUNDVALUE(265)</f>
        <v>0</v>
      </c>
      <c r="Q26" s="13">
        <f>_xlfn.COMPOUNDVALUE(266)</f>
        <v>1</v>
      </c>
    </row>
    <row r="27" spans="1:17" ht="24.75" customHeight="1">
      <c r="A27" s="2"/>
      <c r="B27" s="25" t="s">
        <v>18</v>
      </c>
      <c r="C27" s="13">
        <f>_xlfn.COMPOUNDVALUE(267)</f>
        <v>52</v>
      </c>
      <c r="D27" s="13">
        <v>44</v>
      </c>
      <c r="E27" s="13">
        <f>_xlfn.COMPOUNDVALUE(268)</f>
        <v>5</v>
      </c>
      <c r="F27" s="13">
        <f>_xlfn.COMPOUNDVALUE(269)</f>
        <v>3</v>
      </c>
      <c r="G27" s="13">
        <f>_xlfn.COMPOUNDVALUE(270)</f>
        <v>0</v>
      </c>
      <c r="H27" s="13">
        <f>_xlfn.COMPOUNDVALUE(271)</f>
        <v>0</v>
      </c>
      <c r="I27" s="13">
        <f>_xlfn.COMPOUNDVALUE(272)</f>
        <v>0</v>
      </c>
      <c r="J27" s="13">
        <f>_xlfn.COMPOUNDVALUE(273)</f>
        <v>0</v>
      </c>
      <c r="K27" s="13">
        <f>_xlfn.COMPOUNDVALUE(274)</f>
        <v>0</v>
      </c>
      <c r="L27" s="13">
        <f>_xlfn.COMPOUNDVALUE(275)</f>
        <v>0</v>
      </c>
      <c r="M27" s="13">
        <f>_xlfn.COMPOUNDVALUE(276)</f>
        <v>0</v>
      </c>
      <c r="N27" s="13">
        <f>_xlfn.COMPOUNDVALUE(277)</f>
        <v>0</v>
      </c>
      <c r="O27" s="13">
        <f>_xlfn.COMPOUNDVALUE(278)</f>
        <v>0</v>
      </c>
      <c r="P27" s="13">
        <f>_xlfn.COMPOUNDVALUE(279)</f>
        <v>0</v>
      </c>
      <c r="Q27" s="13">
        <f>_xlfn.COMPOUNDVALUE(280)</f>
        <v>0</v>
      </c>
    </row>
    <row r="28" spans="1:17" ht="24.75" customHeight="1">
      <c r="A28" s="37"/>
      <c r="B28" s="26" t="s">
        <v>19</v>
      </c>
      <c r="C28" s="16">
        <f>_xlfn.COMPOUNDVALUE(281)</f>
        <v>74</v>
      </c>
      <c r="D28" s="16">
        <v>66</v>
      </c>
      <c r="E28" s="16">
        <f>_xlfn.COMPOUNDVALUE(282)</f>
        <v>2</v>
      </c>
      <c r="F28" s="16">
        <f>_xlfn.COMPOUNDVALUE(283)</f>
        <v>4</v>
      </c>
      <c r="G28" s="16">
        <f>_xlfn.COMPOUNDVALUE(284)</f>
        <v>0</v>
      </c>
      <c r="H28" s="16">
        <f>_xlfn.COMPOUNDVALUE(285)</f>
        <v>0</v>
      </c>
      <c r="I28" s="16">
        <f>_xlfn.COMPOUNDVALUE(286)</f>
        <v>0</v>
      </c>
      <c r="J28" s="16">
        <f>_xlfn.COMPOUNDVALUE(287)</f>
        <v>0</v>
      </c>
      <c r="K28" s="13">
        <f>_xlfn.COMPOUNDVALUE(288)</f>
        <v>0</v>
      </c>
      <c r="L28" s="16">
        <f>_xlfn.COMPOUNDVALUE(289)</f>
        <v>1</v>
      </c>
      <c r="M28" s="13">
        <f>_xlfn.COMPOUNDVALUE(290)</f>
        <v>0</v>
      </c>
      <c r="N28" s="16">
        <f>_xlfn.COMPOUNDVALUE(291)</f>
        <v>0</v>
      </c>
      <c r="O28" s="16">
        <f>_xlfn.COMPOUNDVALUE(292)</f>
        <v>0</v>
      </c>
      <c r="P28" s="16">
        <f>_xlfn.COMPOUNDVALUE(293)</f>
        <v>0</v>
      </c>
      <c r="Q28" s="16">
        <f>_xlfn.COMPOUNDVALUE(294)</f>
        <v>1</v>
      </c>
    </row>
    <row r="29" spans="1:17" ht="8.25" customHeight="1">
      <c r="A29" s="15"/>
      <c r="B29" s="4"/>
      <c r="C29" s="5"/>
      <c r="D29" s="5"/>
      <c r="E29" s="5"/>
      <c r="F29" s="5"/>
      <c r="G29" s="5"/>
      <c r="H29" s="5"/>
      <c r="I29" s="5"/>
      <c r="J29" s="5"/>
      <c r="K29" s="17"/>
      <c r="L29" s="5"/>
      <c r="M29" s="17"/>
      <c r="N29" s="5"/>
      <c r="O29" s="5"/>
      <c r="P29" s="5"/>
      <c r="Q29" s="5"/>
    </row>
    <row r="30" spans="1:17" s="30" customFormat="1" ht="31.5" customHeight="1">
      <c r="A30" s="29" t="s">
        <v>13</v>
      </c>
      <c r="C30" s="41" t="s">
        <v>20</v>
      </c>
      <c r="D30" s="42"/>
      <c r="G30" s="41" t="s">
        <v>21</v>
      </c>
      <c r="H30" s="42"/>
      <c r="L30" s="29" t="s">
        <v>22</v>
      </c>
      <c r="M30" s="31"/>
      <c r="N30" s="31"/>
      <c r="O30" s="60" t="s">
        <v>66</v>
      </c>
      <c r="P30" s="60"/>
      <c r="Q30" s="60"/>
    </row>
    <row r="31" spans="7:17" s="30" customFormat="1" ht="24.75" customHeight="1">
      <c r="G31" s="41" t="s">
        <v>23</v>
      </c>
      <c r="H31" s="42"/>
      <c r="L31" s="32"/>
      <c r="M31" s="32"/>
      <c r="N31" s="32"/>
      <c r="O31" s="32"/>
      <c r="P31" s="32"/>
      <c r="Q31" s="32"/>
    </row>
    <row r="32" s="30" customFormat="1" ht="18.75" customHeight="1"/>
    <row r="33" s="30" customFormat="1" ht="15.75">
      <c r="A33" s="29" t="s">
        <v>64</v>
      </c>
    </row>
    <row r="34" s="30" customFormat="1" ht="15.75">
      <c r="A34" s="29" t="s">
        <v>53</v>
      </c>
    </row>
  </sheetData>
  <sheetProtection/>
  <mergeCells count="11">
    <mergeCell ref="O30:Q30"/>
    <mergeCell ref="G30:H30"/>
    <mergeCell ref="G31:H31"/>
    <mergeCell ref="A5:B5"/>
    <mergeCell ref="C30:D30"/>
    <mergeCell ref="A4:P4"/>
    <mergeCell ref="N1:O1"/>
    <mergeCell ref="P1:Q1"/>
    <mergeCell ref="N2:O2"/>
    <mergeCell ref="P2:Q2"/>
    <mergeCell ref="A3:Q3"/>
  </mergeCells>
  <printOptions horizontalCentered="1"/>
  <pageMargins left="0.35433070866141736" right="0.35433070866141736" top="0.5905511811023623" bottom="0.5905511811023623" header="0.5118110236220472" footer="0.5118110236220472"/>
  <pageSetup blackAndWhite="1"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75" zoomScaleNormal="75" zoomScalePageLayoutView="0" workbookViewId="0" topLeftCell="A1">
      <selection activeCell="B12" sqref="B12:O12"/>
    </sheetView>
  </sheetViews>
  <sheetFormatPr defaultColWidth="9.00390625" defaultRowHeight="16.5"/>
  <cols>
    <col min="1" max="1" width="6.125" style="6" customWidth="1"/>
    <col min="2" max="2" width="16.00390625" style="6" bestFit="1" customWidth="1"/>
    <col min="3" max="3" width="16.125" style="6" customWidth="1"/>
    <col min="4" max="4" width="12.25390625" style="6" customWidth="1"/>
    <col min="5" max="16" width="9.00390625" style="6" customWidth="1"/>
    <col min="17" max="17" width="9.75390625" style="6" customWidth="1"/>
    <col min="18" max="18" width="9.00390625" style="6" customWidth="1"/>
    <col min="19" max="19" width="4.875" style="6" customWidth="1"/>
    <col min="20" max="20" width="3.50390625" style="6" customWidth="1"/>
    <col min="21" max="16384" width="9.00390625" style="6" customWidth="1"/>
  </cols>
  <sheetData>
    <row r="1" spans="1:19" ht="15.75" customHeight="1">
      <c r="A1" s="52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="7" customFormat="1" ht="41.25" customHeight="1"/>
    <row r="4" spans="1:17" s="7" customFormat="1" ht="30" customHeight="1">
      <c r="A4" s="8" t="s">
        <v>25</v>
      </c>
      <c r="B4" s="54" t="s">
        <v>60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="7" customFormat="1" ht="30" customHeight="1"/>
    <row r="6" spans="1:16" s="7" customFormat="1" ht="30" customHeight="1">
      <c r="A6" s="8" t="s">
        <v>26</v>
      </c>
      <c r="B6" s="58" t="s">
        <v>35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="7" customFormat="1" ht="30" customHeight="1"/>
    <row r="8" spans="1:15" s="7" customFormat="1" ht="24.75" customHeight="1">
      <c r="A8" s="8" t="s">
        <v>27</v>
      </c>
      <c r="B8" s="9" t="s">
        <v>28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9" s="7" customFormat="1" ht="49.5" customHeight="1">
      <c r="B9" s="56" t="s">
        <v>58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2:15" s="7" customFormat="1" ht="30" customHeight="1">
      <c r="B10" s="7" t="s">
        <v>29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s="7" customFormat="1" ht="30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s="7" customFormat="1" ht="31.5" customHeight="1">
      <c r="A12" s="8" t="s">
        <v>24</v>
      </c>
      <c r="B12" s="57" t="s">
        <v>30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2:19" s="7" customFormat="1" ht="35.25" customHeight="1">
      <c r="B13" s="56" t="s">
        <v>56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2:19" s="7" customFormat="1" ht="51.75" customHeight="1">
      <c r="B14" s="56" t="s">
        <v>57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2:15" s="7" customFormat="1" ht="30.75" customHeight="1">
      <c r="B15" s="56" t="s">
        <v>55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="7" customFormat="1" ht="30" customHeight="1">
      <c r="C16" s="7" t="s">
        <v>31</v>
      </c>
    </row>
    <row r="17" spans="1:19" s="7" customFormat="1" ht="54.75" customHeight="1">
      <c r="A17" s="8" t="s">
        <v>32</v>
      </c>
      <c r="B17" s="57" t="s">
        <v>61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="7" customFormat="1" ht="30" customHeight="1"/>
    <row r="19" spans="1:15" s="7" customFormat="1" ht="30" customHeight="1">
      <c r="A19" s="8" t="s">
        <v>33</v>
      </c>
      <c r="B19" s="58" t="s">
        <v>34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2:15" s="7" customFormat="1" ht="21"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</sheetData>
  <sheetProtection/>
  <mergeCells count="11">
    <mergeCell ref="B15:O15"/>
    <mergeCell ref="A1:S2"/>
    <mergeCell ref="B4:Q4"/>
    <mergeCell ref="B9:S9"/>
    <mergeCell ref="B12:O12"/>
    <mergeCell ref="B19:O19"/>
    <mergeCell ref="B20:O20"/>
    <mergeCell ref="B17:S17"/>
    <mergeCell ref="B6:P6"/>
    <mergeCell ref="B13:S13"/>
    <mergeCell ref="B14:S14"/>
  </mergeCells>
  <printOptions horizontalCentered="1"/>
  <pageMargins left="0.7480314960629921" right="0.57" top="0.984251968503937" bottom="0.6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陳瑜宏</cp:lastModifiedBy>
  <cp:lastPrinted>2022-05-23T09:27:05Z</cp:lastPrinted>
  <dcterms:created xsi:type="dcterms:W3CDTF">2013-01-16T07:41:30Z</dcterms:created>
  <dcterms:modified xsi:type="dcterms:W3CDTF">2022-05-23T09:28:20Z</dcterms:modified>
  <cp:category/>
  <cp:version/>
  <cp:contentType/>
  <cp:contentStatus/>
</cp:coreProperties>
</file>